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LIZAIDA\CLASES\COSTOS\"/>
    </mc:Choice>
  </mc:AlternateContent>
  <xr:revisionPtr revIDLastSave="0" documentId="8_{5CB85896-766F-4CE9-8BD3-BFF2063460D6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Hoja de Costos Metalzam" sheetId="4" r:id="rId1"/>
    <sheet name="Practica Metalzam" sheetId="5" r:id="rId2"/>
    <sheet name="Arte Fino Maderas" sheetId="6" r:id="rId3"/>
    <sheet name="Hoja Costos Arte Fino" sheetId="7" r:id="rId4"/>
    <sheet name="formato hojas costos" sheetId="8" r:id="rId5"/>
  </sheets>
  <calcPr calcId="191029"/>
</workbook>
</file>

<file path=xl/calcChain.xml><?xml version="1.0" encoding="utf-8"?>
<calcChain xmlns="http://schemas.openxmlformats.org/spreadsheetml/2006/main">
  <c r="H125" i="6" l="1"/>
  <c r="E106" i="6"/>
  <c r="I53" i="6"/>
  <c r="I41" i="6"/>
  <c r="J41" i="6" s="1"/>
  <c r="E64" i="6"/>
  <c r="G62" i="6"/>
  <c r="G107" i="6" s="1"/>
  <c r="G110" i="6" s="1"/>
  <c r="G61" i="6"/>
  <c r="H139" i="6" s="1"/>
  <c r="G60" i="6"/>
  <c r="H138" i="6" s="1"/>
  <c r="G59" i="6"/>
  <c r="H137" i="6" s="1"/>
  <c r="G58" i="6"/>
  <c r="H136" i="6" s="1"/>
  <c r="G57" i="6"/>
  <c r="H135" i="6" s="1"/>
  <c r="G56" i="6"/>
  <c r="H134" i="6" s="1"/>
  <c r="E55" i="6"/>
  <c r="H140" i="6" l="1"/>
  <c r="C23" i="7"/>
  <c r="B24" i="7"/>
  <c r="C9" i="7"/>
  <c r="B10" i="7"/>
  <c r="G23" i="7"/>
  <c r="G9" i="7"/>
  <c r="H23" i="7"/>
  <c r="H9" i="7"/>
  <c r="E24" i="7"/>
  <c r="E23" i="7"/>
  <c r="E10" i="7"/>
  <c r="E9" i="7"/>
  <c r="C20" i="7"/>
  <c r="C6" i="7"/>
  <c r="C18" i="7"/>
  <c r="C4" i="7"/>
  <c r="I8" i="6"/>
  <c r="E16" i="6" s="1"/>
  <c r="I6" i="6"/>
  <c r="H126" i="6" s="1"/>
  <c r="E23" i="6"/>
  <c r="E22" i="6"/>
  <c r="F24" i="7" s="1"/>
  <c r="E21" i="6"/>
  <c r="F23" i="7" s="1"/>
  <c r="E20" i="6"/>
  <c r="F10" i="7" s="1"/>
  <c r="E19" i="6"/>
  <c r="I7" i="6"/>
  <c r="C155" i="6"/>
  <c r="G101" i="6"/>
  <c r="G104" i="6" s="1"/>
  <c r="C101" i="6"/>
  <c r="C104" i="6" s="1"/>
  <c r="J95" i="6"/>
  <c r="J98" i="6" s="1"/>
  <c r="G95" i="6"/>
  <c r="G98" i="6" s="1"/>
  <c r="C95" i="6"/>
  <c r="C98" i="6" s="1"/>
  <c r="C198" i="5"/>
  <c r="G170" i="5"/>
  <c r="I130" i="6" l="1"/>
  <c r="E52" i="6"/>
  <c r="I62" i="6" s="1"/>
  <c r="H133" i="6"/>
  <c r="E13" i="6"/>
  <c r="E43" i="6"/>
  <c r="I47" i="6" s="1"/>
  <c r="E12" i="6"/>
  <c r="C24" i="7" s="1"/>
  <c r="D27" i="7" s="1"/>
  <c r="E42" i="6"/>
  <c r="I42" i="6"/>
  <c r="F9" i="7"/>
  <c r="D14" i="7" s="1"/>
  <c r="E51" i="6"/>
  <c r="I55" i="6" s="1"/>
  <c r="D28" i="7"/>
  <c r="I9" i="7"/>
  <c r="D15" i="7" s="1"/>
  <c r="I23" i="7"/>
  <c r="D29" i="7" s="1"/>
  <c r="E15" i="6"/>
  <c r="E11" i="6"/>
  <c r="E14" i="6"/>
  <c r="H127" i="6"/>
  <c r="I63" i="6"/>
  <c r="I98" i="5"/>
  <c r="E100" i="5"/>
  <c r="I108" i="5" s="1"/>
  <c r="F105" i="5"/>
  <c r="F146" i="5" s="1"/>
  <c r="F149" i="5" s="1"/>
  <c r="F104" i="5"/>
  <c r="C146" i="5" s="1"/>
  <c r="C149" i="5" s="1"/>
  <c r="F103" i="5"/>
  <c r="I140" i="5" s="1"/>
  <c r="I143" i="5" s="1"/>
  <c r="F102" i="5"/>
  <c r="F140" i="5" s="1"/>
  <c r="F143" i="5" s="1"/>
  <c r="F101" i="5"/>
  <c r="C140" i="5" s="1"/>
  <c r="C143" i="5" s="1"/>
  <c r="E88" i="5"/>
  <c r="I92" i="5" s="1"/>
  <c r="H132" i="6" l="1"/>
  <c r="H141" i="6" s="1"/>
  <c r="C10" i="7"/>
  <c r="D13" i="7" s="1"/>
  <c r="H13" i="7" s="1"/>
  <c r="H14" i="7" s="1"/>
  <c r="E46" i="6"/>
  <c r="E67" i="6"/>
  <c r="E47" i="6"/>
  <c r="I61" i="6" s="1"/>
  <c r="H27" i="7"/>
  <c r="H28" i="7" s="1"/>
  <c r="G53" i="6"/>
  <c r="G88" i="6" s="1"/>
  <c r="G92" i="6" s="1"/>
  <c r="G49" i="6"/>
  <c r="J48" i="6" s="1"/>
  <c r="I50" i="6" s="1"/>
  <c r="G44" i="6"/>
  <c r="C88" i="6" s="1"/>
  <c r="C92" i="6" s="1"/>
  <c r="G78" i="6"/>
  <c r="D23" i="5"/>
  <c r="G53" i="5" s="1"/>
  <c r="J23" i="5"/>
  <c r="G55" i="5" s="1"/>
  <c r="K8" i="5"/>
  <c r="J31" i="5"/>
  <c r="J30" i="5"/>
  <c r="D29" i="5"/>
  <c r="G54" i="5" s="1"/>
  <c r="H77" i="5"/>
  <c r="F73" i="5"/>
  <c r="E73" i="5"/>
  <c r="F72" i="5"/>
  <c r="E72" i="5"/>
  <c r="H71" i="5"/>
  <c r="F71" i="5"/>
  <c r="E71" i="5"/>
  <c r="C71" i="5"/>
  <c r="B71" i="5"/>
  <c r="H59" i="5"/>
  <c r="F55" i="5"/>
  <c r="E55" i="5"/>
  <c r="F54" i="5"/>
  <c r="E54" i="5"/>
  <c r="C54" i="5"/>
  <c r="B54" i="5"/>
  <c r="H53" i="5"/>
  <c r="F53" i="5"/>
  <c r="E53" i="5"/>
  <c r="D53" i="5"/>
  <c r="D35" i="5"/>
  <c r="I71" i="5" s="1"/>
  <c r="C30" i="5"/>
  <c r="I24" i="5"/>
  <c r="C24" i="5"/>
  <c r="D24" i="5" s="1"/>
  <c r="J16" i="5"/>
  <c r="K16" i="5" s="1"/>
  <c r="D16" i="5"/>
  <c r="E16" i="5" s="1"/>
  <c r="G177" i="5" s="1"/>
  <c r="H70" i="4"/>
  <c r="I25" i="4"/>
  <c r="J25" i="4" s="1"/>
  <c r="G72" i="4" s="1"/>
  <c r="C31" i="4"/>
  <c r="D31" i="4" s="1"/>
  <c r="G71" i="4" s="1"/>
  <c r="C25" i="4"/>
  <c r="D25" i="4" s="1"/>
  <c r="G70" i="4" s="1"/>
  <c r="F72" i="4"/>
  <c r="F71" i="4"/>
  <c r="F70" i="4"/>
  <c r="E72" i="4"/>
  <c r="E71" i="4"/>
  <c r="E70" i="4"/>
  <c r="C70" i="4"/>
  <c r="D70" i="4" s="1"/>
  <c r="D75" i="4" s="1"/>
  <c r="B70" i="4"/>
  <c r="H76" i="4"/>
  <c r="H58" i="4"/>
  <c r="H52" i="4"/>
  <c r="G54" i="4"/>
  <c r="G53" i="4"/>
  <c r="G52" i="4"/>
  <c r="F54" i="4"/>
  <c r="F53" i="4"/>
  <c r="F52" i="4"/>
  <c r="E54" i="4"/>
  <c r="E53" i="4"/>
  <c r="E52" i="4"/>
  <c r="C53" i="4"/>
  <c r="B53" i="4"/>
  <c r="D52" i="4"/>
  <c r="D36" i="4"/>
  <c r="I70" i="4" s="1"/>
  <c r="J17" i="4"/>
  <c r="K17" i="4" s="1"/>
  <c r="D16" i="4"/>
  <c r="E16" i="4" s="1"/>
  <c r="D17" i="4"/>
  <c r="E17" i="4" s="1"/>
  <c r="I32" i="4"/>
  <c r="I31" i="4"/>
  <c r="K16" i="4"/>
  <c r="E70" i="6" l="1"/>
  <c r="E73" i="6"/>
  <c r="I54" i="6"/>
  <c r="G48" i="6"/>
  <c r="J42" i="6" s="1"/>
  <c r="I44" i="6" s="1"/>
  <c r="H128" i="6" s="1"/>
  <c r="I129" i="6" s="1"/>
  <c r="G65" i="6"/>
  <c r="I56" i="6"/>
  <c r="J64" i="6"/>
  <c r="I67" i="6" s="1"/>
  <c r="E87" i="5"/>
  <c r="I87" i="5" s="1"/>
  <c r="G171" i="5"/>
  <c r="G172" i="5" s="1"/>
  <c r="G178" i="5"/>
  <c r="G184" i="5" s="1"/>
  <c r="E97" i="5"/>
  <c r="D59" i="5"/>
  <c r="E92" i="5"/>
  <c r="I53" i="5"/>
  <c r="J53" i="5" s="1"/>
  <c r="D15" i="5"/>
  <c r="E15" i="5" s="1"/>
  <c r="G71" i="5"/>
  <c r="D58" i="4"/>
  <c r="J24" i="5"/>
  <c r="G73" i="5" s="1"/>
  <c r="D30" i="5"/>
  <c r="G72" i="5" s="1"/>
  <c r="J15" i="5"/>
  <c r="K15" i="5" s="1"/>
  <c r="J71" i="5"/>
  <c r="D78" i="5" s="1"/>
  <c r="J70" i="4"/>
  <c r="D77" i="4" s="1"/>
  <c r="I52" i="4"/>
  <c r="J52" i="4" s="1"/>
  <c r="D59" i="4" s="1"/>
  <c r="D76" i="4"/>
  <c r="D53" i="4"/>
  <c r="D57" i="4" s="1"/>
  <c r="F89" i="5" l="1"/>
  <c r="C133" i="5" s="1"/>
  <c r="C137" i="5" s="1"/>
  <c r="D78" i="4"/>
  <c r="E76" i="6"/>
  <c r="J70" i="6"/>
  <c r="I81" i="6"/>
  <c r="G68" i="6"/>
  <c r="J55" i="6" s="1"/>
  <c r="I57" i="6" s="1"/>
  <c r="H175" i="5"/>
  <c r="I107" i="5"/>
  <c r="F121" i="5"/>
  <c r="D60" i="5"/>
  <c r="E107" i="5"/>
  <c r="E96" i="5"/>
  <c r="F94" i="5"/>
  <c r="J93" i="5" s="1"/>
  <c r="I95" i="5" s="1"/>
  <c r="I106" i="5"/>
  <c r="E91" i="5"/>
  <c r="D71" i="5"/>
  <c r="D76" i="5" s="1"/>
  <c r="D77" i="5"/>
  <c r="D54" i="5"/>
  <c r="D58" i="5" s="1"/>
  <c r="D60" i="4"/>
  <c r="D61" i="4" s="1"/>
  <c r="I59" i="6" l="1"/>
  <c r="I147" i="6"/>
  <c r="I70" i="6"/>
  <c r="J73" i="6" s="1"/>
  <c r="J76" i="6"/>
  <c r="E77" i="6"/>
  <c r="I76" i="6"/>
  <c r="J82" i="6"/>
  <c r="I84" i="6" s="1"/>
  <c r="G74" i="6"/>
  <c r="I88" i="6"/>
  <c r="I91" i="6" s="1"/>
  <c r="G71" i="6"/>
  <c r="C107" i="6" s="1"/>
  <c r="C110" i="6" s="1"/>
  <c r="I101" i="6"/>
  <c r="I104" i="6" s="1"/>
  <c r="J109" i="5"/>
  <c r="I112" i="5" s="1"/>
  <c r="F93" i="5"/>
  <c r="J87" i="5" s="1"/>
  <c r="I99" i="5"/>
  <c r="D61" i="5"/>
  <c r="I100" i="5"/>
  <c r="F98" i="5"/>
  <c r="F133" i="5" s="1"/>
  <c r="F137" i="5" s="1"/>
  <c r="I101" i="5"/>
  <c r="F108" i="5"/>
  <c r="D79" i="5"/>
  <c r="G81" i="6" l="1"/>
  <c r="H113" i="6" s="1"/>
  <c r="E80" i="6"/>
  <c r="D113" i="6" s="1"/>
  <c r="I157" i="6"/>
  <c r="H142" i="6"/>
  <c r="I143" i="6" s="1"/>
  <c r="I144" i="6" s="1"/>
  <c r="I146" i="6" s="1"/>
  <c r="I148" i="6" s="1"/>
  <c r="I155" i="6" s="1"/>
  <c r="I156" i="6" s="1"/>
  <c r="I79" i="6"/>
  <c r="D114" i="6"/>
  <c r="I89" i="5"/>
  <c r="G173" i="5" s="1"/>
  <c r="H174" i="5" s="1"/>
  <c r="D62" i="5"/>
  <c r="E110" i="5"/>
  <c r="E119" i="5"/>
  <c r="J115" i="5"/>
  <c r="I158" i="6" l="1"/>
  <c r="E113" i="6"/>
  <c r="J113" i="6" s="1"/>
  <c r="J114" i="6" s="1"/>
  <c r="E113" i="5"/>
  <c r="E116" i="5"/>
  <c r="I126" i="5"/>
  <c r="F111" i="5"/>
  <c r="J100" i="5" s="1"/>
  <c r="I102" i="5" s="1"/>
  <c r="I104" i="5" s="1"/>
  <c r="I115" i="5"/>
  <c r="J118" i="5" s="1"/>
  <c r="I121" i="5"/>
  <c r="G185" i="5" s="1"/>
  <c r="H186" i="5" s="1"/>
  <c r="H187" i="5" s="1"/>
  <c r="H189" i="5" s="1"/>
  <c r="E120" i="5"/>
  <c r="F128" i="5" s="1"/>
  <c r="J121" i="5"/>
  <c r="I124" i="5" l="1"/>
  <c r="I86" i="6"/>
  <c r="E114" i="6"/>
  <c r="I159" i="6"/>
  <c r="I160" i="6" s="1"/>
  <c r="I92" i="6"/>
  <c r="I93" i="6" s="1"/>
  <c r="D158" i="5"/>
  <c r="H190" i="5"/>
  <c r="H191" i="5" s="1"/>
  <c r="H198" i="5" s="1"/>
  <c r="H199" i="5" s="1"/>
  <c r="G159" i="5"/>
  <c r="G158" i="5"/>
  <c r="G160" i="5"/>
  <c r="F114" i="5"/>
  <c r="C152" i="5" s="1"/>
  <c r="C155" i="5" s="1"/>
  <c r="H146" i="5"/>
  <c r="H149" i="5" s="1"/>
  <c r="H133" i="5"/>
  <c r="H136" i="5" s="1"/>
  <c r="J127" i="5"/>
  <c r="I129" i="5" s="1"/>
  <c r="F117" i="5"/>
  <c r="D161" i="5" l="1"/>
  <c r="E159" i="5" s="1"/>
  <c r="I159" i="5" s="1"/>
  <c r="I130" i="5" s="1"/>
  <c r="I131" i="5" s="1"/>
  <c r="E126" i="5" l="1"/>
  <c r="E160" i="5"/>
  <c r="I160" i="5" s="1"/>
  <c r="E158" i="5"/>
  <c r="H137" i="5" l="1"/>
  <c r="H138" i="5" s="1"/>
  <c r="H202" i="5"/>
  <c r="E127" i="5"/>
  <c r="I158" i="5"/>
  <c r="E161" i="5"/>
  <c r="E125" i="5" l="1"/>
  <c r="I161" i="5"/>
  <c r="H200" i="5"/>
  <c r="H201" i="5" s="1"/>
  <c r="H203" i="5" s="1"/>
</calcChain>
</file>

<file path=xl/sharedStrings.xml><?xml version="1.0" encoding="utf-8"?>
<sst xmlns="http://schemas.openxmlformats.org/spreadsheetml/2006/main" count="844" uniqueCount="265">
  <si>
    <t>Trabajo A</t>
  </si>
  <si>
    <t>Descripción</t>
  </si>
  <si>
    <t>N° de Orden</t>
  </si>
  <si>
    <t>Estatus</t>
  </si>
  <si>
    <t>Costos</t>
  </si>
  <si>
    <t>En Proceso</t>
  </si>
  <si>
    <t>Compra de Materiales</t>
  </si>
  <si>
    <t>Proveedor</t>
  </si>
  <si>
    <t>Fecha</t>
  </si>
  <si>
    <t>Costo</t>
  </si>
  <si>
    <t>Metales, C.A.</t>
  </si>
  <si>
    <t>Requisición de Materiales</t>
  </si>
  <si>
    <t>Cantidad</t>
  </si>
  <si>
    <t>Costo Unit.</t>
  </si>
  <si>
    <t>Costo Total</t>
  </si>
  <si>
    <t>Cargado a la Orden N°:</t>
  </si>
  <si>
    <t>Departamento:</t>
  </si>
  <si>
    <t>Producción</t>
  </si>
  <si>
    <t>Fecha:</t>
  </si>
  <si>
    <t>Laminas UHG lisa</t>
  </si>
  <si>
    <t>Cant.</t>
  </si>
  <si>
    <t>Tarjeta N°</t>
  </si>
  <si>
    <t>Luis Rojas</t>
  </si>
  <si>
    <t>Horas Laboradas</t>
  </si>
  <si>
    <t>Tasa</t>
  </si>
  <si>
    <t>Orden N°</t>
  </si>
  <si>
    <t>Dpto:</t>
  </si>
  <si>
    <t>Operario</t>
  </si>
  <si>
    <t>Carlos Pérez</t>
  </si>
  <si>
    <t>Jesus Gomez</t>
  </si>
  <si>
    <t>Tarjetas de Jornada Laboral</t>
  </si>
  <si>
    <t>Efreen Castillo</t>
  </si>
  <si>
    <t>Guillermo Eres</t>
  </si>
  <si>
    <t>Supervisor</t>
  </si>
  <si>
    <t>Costos Indirectos de Fabricación:</t>
  </si>
  <si>
    <r>
      <rPr>
        <b/>
        <sz val="11"/>
        <color theme="1"/>
        <rFont val="Calibri"/>
        <family val="2"/>
        <scheme val="minor"/>
      </rPr>
      <t>Industrias Metalzam 826, C.A.</t>
    </r>
    <r>
      <rPr>
        <sz val="11"/>
        <color theme="1"/>
        <rFont val="Calibri"/>
        <family val="2"/>
        <scheme val="minor"/>
      </rPr>
      <t xml:space="preserve"> es un taller especializado en la elaboración de estructuras y cavas metálicas para la industria en general.</t>
    </r>
  </si>
  <si>
    <t xml:space="preserve">En su proceso productivo emplean el sistema de costeo por Ordenes Específicas, ya que en su mayoría, los pedidos son efectuados </t>
  </si>
  <si>
    <t>estrictamente según los requerimientos de cada cliente. Para el mes de  Abril 2016 la empresa presentó la siguiente información.</t>
  </si>
  <si>
    <t>Remaches 1" liso</t>
  </si>
  <si>
    <t>Depreciación Maquinaria de Producción</t>
  </si>
  <si>
    <t>Depreciación Equipos de Producción</t>
  </si>
  <si>
    <t>Arrendamiento Local de Producción</t>
  </si>
  <si>
    <t>Electricidad de Planta</t>
  </si>
  <si>
    <t>Combustible de Planta</t>
  </si>
  <si>
    <t>Materiales Indirectos</t>
  </si>
  <si>
    <t>?</t>
  </si>
  <si>
    <t>Mano de Obra Indirecta</t>
  </si>
  <si>
    <t xml:space="preserve"> Presupuestado</t>
  </si>
  <si>
    <t>Incurrido</t>
  </si>
  <si>
    <t>Base se Asignación Costos Indirectos de Fabricación:</t>
  </si>
  <si>
    <t>SOLUCIÓN:</t>
  </si>
  <si>
    <t>HOJA DE COSTOS</t>
  </si>
  <si>
    <t>Fecha de Inicio:</t>
  </si>
  <si>
    <t>Fecha Terminación:</t>
  </si>
  <si>
    <t>Requisición</t>
  </si>
  <si>
    <t>Total</t>
  </si>
  <si>
    <t>Tarjeta Trabajo</t>
  </si>
  <si>
    <t>Horas</t>
  </si>
  <si>
    <t>Materiales Directos</t>
  </si>
  <si>
    <t>Mano de Obra Directa</t>
  </si>
  <si>
    <t>Costos   Indirectos de Fabricación</t>
  </si>
  <si>
    <t>Saldos al Inicio (Materiales Directos)</t>
  </si>
  <si>
    <t>Orden:</t>
  </si>
  <si>
    <t>Saldo Inicial</t>
  </si>
  <si>
    <t>Costos Indirectos de Fabricación: (Expresado en Bs.)</t>
  </si>
  <si>
    <t>Costos Indirectos Aplicados</t>
  </si>
  <si>
    <t>Unidades Terminadas:</t>
  </si>
  <si>
    <t>Costo Unitario</t>
  </si>
  <si>
    <t>Costo Total Orden</t>
  </si>
  <si>
    <t>Resumen de Costos</t>
  </si>
  <si>
    <t>Número</t>
  </si>
  <si>
    <t>Saldo</t>
  </si>
  <si>
    <t>Unidades Despachadas</t>
  </si>
  <si>
    <t>Horas de Mano de Obra Directa Estimadas</t>
  </si>
  <si>
    <t>Inormación Adicional:</t>
  </si>
  <si>
    <t>Descripción:</t>
  </si>
  <si>
    <t>Plataforma Camión 350</t>
  </si>
  <si>
    <t>Plataforma Camión Cargo 1721</t>
  </si>
  <si>
    <t>Se vendieron 6 plataformas para camión Chevrolet 350 con un margen de</t>
  </si>
  <si>
    <t>Se Requiere:</t>
  </si>
  <si>
    <t>1.- Hoja de Costos para cada orden de trabajo</t>
  </si>
  <si>
    <t>2.- Registros contables necesarios</t>
  </si>
  <si>
    <t>3.- Actualización cuentas de mayor</t>
  </si>
  <si>
    <t>utilidad de un 30% sobre el costo. Crédito a 7 días a Auto Mundial, S.A.</t>
  </si>
  <si>
    <t>Planta</t>
  </si>
  <si>
    <t>4.-Sub o Sobre Aplicación de CIF</t>
  </si>
  <si>
    <t xml:space="preserve">Requisición de Materiales N°: </t>
  </si>
  <si>
    <t>Laminas de Acero UHG corrugada</t>
  </si>
  <si>
    <t>Remaches 1" lisos</t>
  </si>
  <si>
    <t>Trabajador:</t>
  </si>
  <si>
    <t>Tasa por Hora</t>
  </si>
  <si>
    <t>REGISTROS CONTABLES:</t>
  </si>
  <si>
    <t>Inventario de Materiales Directos</t>
  </si>
  <si>
    <t>Inventario de Suministros</t>
  </si>
  <si>
    <r>
      <t xml:space="preserve">Compra de Materiales </t>
    </r>
    <r>
      <rPr>
        <b/>
        <sz val="10"/>
        <color theme="1"/>
        <rFont val="Calibri"/>
        <family val="2"/>
        <scheme val="minor"/>
      </rPr>
      <t>(crédito 7 días)</t>
    </r>
  </si>
  <si>
    <t>Control Costos Indirectos de Fabricación</t>
  </si>
  <si>
    <t>Nomina por Pagar</t>
  </si>
  <si>
    <t>Control Costos Indirectos de fabricación-Mat.Ind.</t>
  </si>
  <si>
    <t>Control Costos Indirectos de Fabricación-MOI</t>
  </si>
  <si>
    <t>Depreciación Acumulada Maquinaria</t>
  </si>
  <si>
    <t>Depreciación Acumulada Equipos</t>
  </si>
  <si>
    <t>Alquileres por Pagar</t>
  </si>
  <si>
    <t>Cuentas por Pagar-Eleval</t>
  </si>
  <si>
    <t>Cuentas por Pagar-Pdvsa</t>
  </si>
  <si>
    <t>Inventario de Productos en Proceso-Mat.Dir.</t>
  </si>
  <si>
    <t>Inventario de Productos en Proceso-MOD</t>
  </si>
  <si>
    <t>Inventario de Productos en Proceso-CIFA</t>
  </si>
  <si>
    <t>Costos Indirectos de Fabricación Aplicados</t>
  </si>
  <si>
    <t>Inv.de Mat.Directos</t>
  </si>
  <si>
    <t>Inv.de Suministros</t>
  </si>
  <si>
    <t>Cuentas por Pagar-Proveedores</t>
  </si>
  <si>
    <t>Inv.Prod.en Proceso</t>
  </si>
  <si>
    <t>Mat.Dir.</t>
  </si>
  <si>
    <t>MOD</t>
  </si>
  <si>
    <t>CIF Aplic.</t>
  </si>
  <si>
    <t>Control Costos Ind.Fabric.</t>
  </si>
  <si>
    <t>Mat.Ind.</t>
  </si>
  <si>
    <t>MOI</t>
  </si>
  <si>
    <t>Incurridos</t>
  </si>
  <si>
    <t xml:space="preserve">Envio a </t>
  </si>
  <si>
    <t>Compra</t>
  </si>
  <si>
    <t>Costos Ind.Fabric.Aplic.</t>
  </si>
  <si>
    <t>Sub-Aplicación de CIF</t>
  </si>
  <si>
    <t>CIF</t>
  </si>
  <si>
    <t>Aplicados</t>
  </si>
  <si>
    <t>Dif.entre</t>
  </si>
  <si>
    <t>lo Real y lo</t>
  </si>
  <si>
    <t>Aplicado</t>
  </si>
  <si>
    <t>Sub-Aplicación de Costos Ind.de Fabricación</t>
  </si>
  <si>
    <t>Prorrateo</t>
  </si>
  <si>
    <t>Cierre al</t>
  </si>
  <si>
    <t>Final del</t>
  </si>
  <si>
    <t>Período</t>
  </si>
  <si>
    <t>Inventario de Productos Terminados</t>
  </si>
  <si>
    <t>Inventario de Productos en Proceso</t>
  </si>
  <si>
    <t>Terminada</t>
  </si>
  <si>
    <t>Orden N° 51</t>
  </si>
  <si>
    <t>Orden N°52</t>
  </si>
  <si>
    <t>Inv.Prod.Terminados</t>
  </si>
  <si>
    <t>Venta de 3</t>
  </si>
  <si>
    <t>Plataformas</t>
  </si>
  <si>
    <t>Cuentas por Cobrar-Auto Mundial, S.A.</t>
  </si>
  <si>
    <t>Ventas</t>
  </si>
  <si>
    <t>Costo de Ventas</t>
  </si>
  <si>
    <t>4.- Prorrateo de la Sub o Sobre Aplicaciónn de CIF</t>
  </si>
  <si>
    <t>X</t>
  </si>
  <si>
    <t>=</t>
  </si>
  <si>
    <t>Cuentas por Pagar-Prov.</t>
  </si>
  <si>
    <t>Nómina por Pagar</t>
  </si>
  <si>
    <t>Deprec.Acum.Maquinaria</t>
  </si>
  <si>
    <t>Deprec.Acum.Equipos</t>
  </si>
  <si>
    <t>C x C-Auto Mundial, S.A.</t>
  </si>
  <si>
    <t>Db</t>
  </si>
  <si>
    <t>Cr</t>
  </si>
  <si>
    <t>__________1</t>
  </si>
  <si>
    <t>__________</t>
  </si>
  <si>
    <t>__________2</t>
  </si>
  <si>
    <t>__________3</t>
  </si>
  <si>
    <t>__________4</t>
  </si>
  <si>
    <t>__________5</t>
  </si>
  <si>
    <t>__________6</t>
  </si>
  <si>
    <t>__________7</t>
  </si>
  <si>
    <t>__________8</t>
  </si>
  <si>
    <t>__________9</t>
  </si>
  <si>
    <t>__________10</t>
  </si>
  <si>
    <t>Distribución de la Sub-Aplicación:</t>
  </si>
  <si>
    <t>Sub-Aplicación</t>
  </si>
  <si>
    <t>Prorrateo de</t>
  </si>
  <si>
    <t>Vendidas</t>
  </si>
  <si>
    <t>Prorrateo Sub-Aplicación</t>
  </si>
  <si>
    <t>Compra de Materiales Directos</t>
  </si>
  <si>
    <t>Materiales Directos Disponibles en el Proceso Productivo</t>
  </si>
  <si>
    <t>Materiales Directos:</t>
  </si>
  <si>
    <t>Requis.Inicial</t>
  </si>
  <si>
    <t>Mano de  Obra Directa</t>
  </si>
  <si>
    <t>Costosm Indirectos de Fabricación:</t>
  </si>
  <si>
    <t>Materiales indirectos</t>
  </si>
  <si>
    <t>Costos Indirectos de Fabricación Reales Totales</t>
  </si>
  <si>
    <t>Costos Indirectos de Fabricación Sub-Aplicados</t>
  </si>
  <si>
    <t>Costos Indirectos de Fabricación Aplicados a la Producción</t>
  </si>
  <si>
    <t>Costos Totales de Manufactura</t>
  </si>
  <si>
    <t>Materiales Directos Usados en Producción</t>
  </si>
  <si>
    <t>Costo Total de Manufactura Disponible</t>
  </si>
  <si>
    <t>Costo de los Artículos Fabricados</t>
  </si>
  <si>
    <t>Mat.Inicial</t>
  </si>
  <si>
    <t>INDUSTRIAS METALZAM 826, C.A.</t>
  </si>
  <si>
    <t>ESTADO DE COSTO DE LOS PRODUCTOS MANUFACTURADOS</t>
  </si>
  <si>
    <t>Al 30/04/2016</t>
  </si>
  <si>
    <t>5.-Sub o Sobre Aplicación de CIF</t>
  </si>
  <si>
    <t>6.-Estado de Costo de Productos</t>
  </si>
  <si>
    <t xml:space="preserve">     Manufacturados</t>
  </si>
  <si>
    <t>7.-Estado de Costo de Productos</t>
  </si>
  <si>
    <t xml:space="preserve">     Vendidos</t>
  </si>
  <si>
    <t>ESTADO DE COSTO DE LOS PRODUCTOS VENDIDOS</t>
  </si>
  <si>
    <t>Inventario de Materiales Directos, al 01/04/2016</t>
  </si>
  <si>
    <t>Inventario de Materiales Directos, al 30/04/2016</t>
  </si>
  <si>
    <t>Inventario de Productos en Proceso, al 01/04/2016</t>
  </si>
  <si>
    <t>Inventario de Productos en Proceso, al 30/04/2016</t>
  </si>
  <si>
    <t>Productos Disponibles para la Venta</t>
  </si>
  <si>
    <t>Inventario de Productos Terminados, al 01/04/2016</t>
  </si>
  <si>
    <t>Inventario de Productos Terminados, al 30/04/2016</t>
  </si>
  <si>
    <t>Costo de los Productos Vendidos</t>
  </si>
  <si>
    <t>Prorrateo Costos Indirectos de Fabricación Sub-Aplicados</t>
  </si>
  <si>
    <t>Costo Ajustado-Real de los Productos Vendidos</t>
  </si>
  <si>
    <t>El 30/04/2016 se vendieron 3 plataformas para camión Chevrolet 350 con un</t>
  </si>
  <si>
    <t xml:space="preserve">margen de utilidad de un 40% sobre el costo. </t>
  </si>
  <si>
    <t>Crédito a 7 días a Auto Mundial, S.A.</t>
  </si>
  <si>
    <t>Saldo al 30/09/2016</t>
  </si>
  <si>
    <t>Madera Aserrada</t>
  </si>
  <si>
    <t>Maderas Imeca</t>
  </si>
  <si>
    <t>Pega Blanca</t>
  </si>
  <si>
    <r>
      <t xml:space="preserve">Compra de Materiales 02/10/2016 </t>
    </r>
    <r>
      <rPr>
        <b/>
        <sz val="10"/>
        <color theme="1"/>
        <rFont val="Calibri"/>
        <family val="2"/>
        <scheme val="minor"/>
      </rPr>
      <t>(crédito 7 días)</t>
    </r>
  </si>
  <si>
    <t>Barníz</t>
  </si>
  <si>
    <t>Incurrido o Real</t>
  </si>
  <si>
    <t>Materiales Ind.</t>
  </si>
  <si>
    <t>Mano de Obra Ind.</t>
  </si>
  <si>
    <t>Deprec.Maquinas</t>
  </si>
  <si>
    <t>Deprec.Equipos</t>
  </si>
  <si>
    <t>Alquiler Planta</t>
  </si>
  <si>
    <t xml:space="preserve">Impuestos </t>
  </si>
  <si>
    <t>Electricidad</t>
  </si>
  <si>
    <t>Combustible</t>
  </si>
  <si>
    <t>Otros Gastos Ind.</t>
  </si>
  <si>
    <t>Juan Olivares-MOD</t>
  </si>
  <si>
    <t>Jesús Primera-MOD</t>
  </si>
  <si>
    <t>Oscar Ojeda-MOD</t>
  </si>
  <si>
    <t>Efreen Silva-MOD</t>
  </si>
  <si>
    <t>Miguel Suarez-MOI</t>
  </si>
  <si>
    <t>??</t>
  </si>
  <si>
    <t>Ventanas Entamb.</t>
  </si>
  <si>
    <t>Puertas Entamb.</t>
  </si>
  <si>
    <t>Requisición de Materiales N° 758</t>
  </si>
  <si>
    <t>Requis.</t>
  </si>
  <si>
    <t>Boletas de Jornada Laboral N° 680</t>
  </si>
  <si>
    <t>N° Boleta</t>
  </si>
  <si>
    <t>Mano de Obra Directa:</t>
  </si>
  <si>
    <t>Costos Indirectos Aplicados:</t>
  </si>
  <si>
    <t>Costo Total Orden:</t>
  </si>
  <si>
    <t>Descripc:</t>
  </si>
  <si>
    <t>Margen Utilidad</t>
  </si>
  <si>
    <t>Saldo 30/09/2016</t>
  </si>
  <si>
    <t>Presupuestado</t>
  </si>
  <si>
    <t>Cuentas por Pagar-Maderas Imeca, C.A.</t>
  </si>
  <si>
    <t>Cuentas por Pagar-Otras</t>
  </si>
  <si>
    <t>Impuestos por Pagar</t>
  </si>
  <si>
    <t>Orden N°751</t>
  </si>
  <si>
    <t>Orden N° 750</t>
  </si>
  <si>
    <t xml:space="preserve">al Costo de </t>
  </si>
  <si>
    <t>Venta de 50</t>
  </si>
  <si>
    <t>puertas</t>
  </si>
  <si>
    <t>Cuentas por Pagar-Mad.Imec.</t>
  </si>
  <si>
    <t>Puertas</t>
  </si>
  <si>
    <t>Cuentas por Cobrar-Ferreteria EPA, C.A.</t>
  </si>
  <si>
    <t>C x C-Ferreteria EPA, C.A.</t>
  </si>
  <si>
    <t>Cuentas por Pagar-Otros</t>
  </si>
  <si>
    <t>Al 30/10/2016</t>
  </si>
  <si>
    <t>Inventario de Materiales Directos, al 01/10/2016</t>
  </si>
  <si>
    <t>Inventario de Materiales Directos, al 30/10/2016</t>
  </si>
  <si>
    <t>Inventario de Productos en Proceso, al 01/10/2016</t>
  </si>
  <si>
    <t>Inventario de Productos en Proceso, al 30/10/2016</t>
  </si>
  <si>
    <t>Inventario de Productos Terminados, al 01/10/2016</t>
  </si>
  <si>
    <t>Inventario de Productos Terminados, al 30/10/2016</t>
  </si>
  <si>
    <t>ARTE FINO MADERAS, C.A.</t>
  </si>
  <si>
    <t>ARTE FINO MADERA, C.A.</t>
  </si>
  <si>
    <t>Solución: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</si>
</sst>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0"/>
    <numFmt numFmtId="166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9" xfId="0" applyBorder="1"/>
    <xf numFmtId="0" fontId="3" fillId="0" borderId="6" xfId="0" applyFont="1" applyBorder="1"/>
    <xf numFmtId="14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4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14" fontId="3" fillId="0" borderId="4" xfId="0" applyNumberFormat="1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3" xfId="0" applyNumberFormat="1" applyFont="1" applyBorder="1"/>
    <xf numFmtId="0" fontId="3" fillId="0" borderId="5" xfId="0" applyFont="1" applyBorder="1"/>
    <xf numFmtId="1" fontId="3" fillId="0" borderId="6" xfId="0" applyNumberFormat="1" applyFont="1" applyBorder="1" applyAlignment="1">
      <alignment horizontal="center"/>
    </xf>
    <xf numFmtId="4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4" fontId="0" fillId="0" borderId="0" xfId="0" applyNumberFormat="1"/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2" xfId="0" applyBorder="1"/>
    <xf numFmtId="0" fontId="0" fillId="0" borderId="6" xfId="0" applyBorder="1"/>
    <xf numFmtId="4" fontId="3" fillId="0" borderId="9" xfId="0" applyNumberFormat="1" applyFont="1" applyBorder="1"/>
    <xf numFmtId="0" fontId="0" fillId="0" borderId="9" xfId="0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19" xfId="0" applyFont="1" applyBorder="1" applyAlignment="1">
      <alignment horizontal="center"/>
    </xf>
    <xf numFmtId="4" fontId="3" fillId="0" borderId="3" xfId="0" applyNumberFormat="1" applyFont="1" applyBorder="1"/>
    <xf numFmtId="4" fontId="3" fillId="0" borderId="4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1" xfId="0" applyBorder="1"/>
    <xf numFmtId="0" fontId="0" fillId="0" borderId="18" xfId="0" applyBorder="1"/>
    <xf numFmtId="0" fontId="0" fillId="0" borderId="2" xfId="0" applyBorder="1"/>
    <xf numFmtId="0" fontId="0" fillId="0" borderId="22" xfId="0" applyBorder="1"/>
    <xf numFmtId="0" fontId="0" fillId="0" borderId="4" xfId="0" applyBorder="1"/>
    <xf numFmtId="0" fontId="2" fillId="0" borderId="0" xfId="0" applyFont="1" applyAlignment="1">
      <alignment horizontal="center"/>
    </xf>
    <xf numFmtId="4" fontId="0" fillId="0" borderId="12" xfId="0" applyNumberFormat="1" applyBorder="1"/>
    <xf numFmtId="1" fontId="3" fillId="0" borderId="3" xfId="0" applyNumberFormat="1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7" xfId="0" applyFont="1" applyBorder="1" applyAlignment="1">
      <alignment horizontal="center"/>
    </xf>
    <xf numFmtId="0" fontId="2" fillId="0" borderId="9" xfId="0" applyFont="1" applyBorder="1"/>
    <xf numFmtId="0" fontId="3" fillId="0" borderId="25" xfId="0" applyFont="1" applyBorder="1"/>
    <xf numFmtId="0" fontId="3" fillId="0" borderId="26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9" xfId="0" applyFont="1" applyBorder="1"/>
    <xf numFmtId="4" fontId="3" fillId="0" borderId="30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0" fillId="0" borderId="26" xfId="0" applyBorder="1"/>
    <xf numFmtId="0" fontId="3" fillId="0" borderId="34" xfId="0" applyFont="1" applyBorder="1"/>
    <xf numFmtId="0" fontId="0" fillId="0" borderId="35" xfId="0" applyBorder="1"/>
    <xf numFmtId="4" fontId="3" fillId="0" borderId="36" xfId="0" applyNumberFormat="1" applyFont="1" applyBorder="1"/>
    <xf numFmtId="0" fontId="0" fillId="0" borderId="37" xfId="0" applyBorder="1"/>
    <xf numFmtId="0" fontId="0" fillId="0" borderId="38" xfId="0" applyBorder="1"/>
    <xf numFmtId="0" fontId="0" fillId="0" borderId="36" xfId="0" applyBorder="1"/>
    <xf numFmtId="0" fontId="0" fillId="0" borderId="39" xfId="0" applyBorder="1"/>
    <xf numFmtId="0" fontId="3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4" xfId="0" applyNumberFormat="1" applyBorder="1"/>
    <xf numFmtId="4" fontId="0" fillId="0" borderId="13" xfId="0" applyNumberFormat="1" applyBorder="1"/>
    <xf numFmtId="0" fontId="0" fillId="0" borderId="0" xfId="0" applyAlignment="1">
      <alignment horizontal="right"/>
    </xf>
    <xf numFmtId="4" fontId="0" fillId="0" borderId="3" xfId="0" applyNumberFormat="1" applyBorder="1"/>
    <xf numFmtId="10" fontId="0" fillId="0" borderId="0" xfId="0" applyNumberFormat="1"/>
    <xf numFmtId="10" fontId="0" fillId="0" borderId="3" xfId="0" applyNumberFormat="1" applyBorder="1"/>
    <xf numFmtId="0" fontId="7" fillId="0" borderId="0" xfId="0" applyFont="1"/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6" xfId="0" applyFont="1" applyBorder="1" applyAlignment="1">
      <alignment horizontal="right"/>
    </xf>
    <xf numFmtId="0" fontId="9" fillId="0" borderId="6" xfId="0" applyFont="1" applyBorder="1"/>
    <xf numFmtId="0" fontId="6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3" fillId="0" borderId="12" xfId="0" applyNumberFormat="1" applyFont="1" applyBorder="1"/>
    <xf numFmtId="0" fontId="3" fillId="0" borderId="4" xfId="0" applyFont="1" applyBorder="1"/>
    <xf numFmtId="4" fontId="3" fillId="0" borderId="20" xfId="0" applyNumberFormat="1" applyFont="1" applyBorder="1"/>
    <xf numFmtId="0" fontId="3" fillId="0" borderId="9" xfId="0" applyFont="1" applyBorder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1" fillId="0" borderId="3" xfId="0" applyNumberFormat="1" applyFont="1" applyBorder="1"/>
    <xf numFmtId="4" fontId="11" fillId="0" borderId="6" xfId="0" applyNumberFormat="1" applyFont="1" applyBorder="1"/>
    <xf numFmtId="4" fontId="12" fillId="0" borderId="40" xfId="0" applyNumberFormat="1" applyFont="1" applyBorder="1"/>
    <xf numFmtId="0" fontId="1" fillId="0" borderId="0" xfId="0" applyFont="1" applyAlignment="1">
      <alignment horizontal="center"/>
    </xf>
    <xf numFmtId="4" fontId="13" fillId="0" borderId="0" xfId="0" applyNumberFormat="1" applyFont="1"/>
    <xf numFmtId="0" fontId="13" fillId="0" borderId="0" xfId="0" applyFont="1"/>
    <xf numFmtId="0" fontId="3" fillId="0" borderId="6" xfId="0" applyFont="1" applyBorder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0" borderId="6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center"/>
    </xf>
    <xf numFmtId="0" fontId="3" fillId="0" borderId="35" xfId="0" applyFont="1" applyBorder="1"/>
    <xf numFmtId="0" fontId="0" fillId="0" borderId="11" xfId="0" applyBorder="1"/>
    <xf numFmtId="4" fontId="3" fillId="0" borderId="35" xfId="0" applyNumberFormat="1" applyFont="1" applyBorder="1"/>
    <xf numFmtId="0" fontId="2" fillId="0" borderId="25" xfId="0" applyFont="1" applyBorder="1"/>
    <xf numFmtId="0" fontId="2" fillId="0" borderId="34" xfId="0" applyFont="1" applyBorder="1"/>
    <xf numFmtId="0" fontId="3" fillId="0" borderId="2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5" xfId="0" applyBorder="1" applyAlignment="1">
      <alignment horizontal="right"/>
    </xf>
    <xf numFmtId="0" fontId="0" fillId="0" borderId="39" xfId="0" applyBorder="1" applyAlignment="1">
      <alignment horizontal="right"/>
    </xf>
    <xf numFmtId="165" fontId="0" fillId="0" borderId="0" xfId="0" applyNumberFormat="1"/>
    <xf numFmtId="164" fontId="0" fillId="0" borderId="0" xfId="1" applyFont="1"/>
    <xf numFmtId="9" fontId="3" fillId="0" borderId="0" xfId="0" applyNumberFormat="1" applyFont="1" applyAlignment="1">
      <alignment horizontal="center"/>
    </xf>
    <xf numFmtId="9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23" xfId="0" applyFont="1" applyBorder="1"/>
    <xf numFmtId="0" fontId="3" fillId="0" borderId="11" xfId="0" applyFont="1" applyBorder="1"/>
    <xf numFmtId="0" fontId="4" fillId="0" borderId="11" xfId="0" applyFont="1" applyBorder="1" applyAlignment="1">
      <alignment horizontal="center"/>
    </xf>
    <xf numFmtId="0" fontId="3" fillId="0" borderId="24" xfId="0" applyFont="1" applyBorder="1"/>
    <xf numFmtId="4" fontId="0" fillId="0" borderId="5" xfId="0" applyNumberFormat="1" applyBorder="1"/>
    <xf numFmtId="10" fontId="3" fillId="0" borderId="0" xfId="0" applyNumberFormat="1" applyFont="1"/>
    <xf numFmtId="10" fontId="3" fillId="0" borderId="3" xfId="0" applyNumberFormat="1" applyFont="1" applyBorder="1"/>
    <xf numFmtId="0" fontId="5" fillId="0" borderId="0" xfId="0" applyFont="1"/>
    <xf numFmtId="0" fontId="16" fillId="0" borderId="0" xfId="0" applyFont="1"/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35" xfId="0" applyNumberFormat="1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4" fontId="3" fillId="0" borderId="26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4" fontId="3" fillId="0" borderId="2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showGridLines="0" workbookViewId="0"/>
  </sheetViews>
  <sheetFormatPr baseColWidth="10" defaultRowHeight="15" x14ac:dyDescent="0.25"/>
  <cols>
    <col min="1" max="5" width="11.5703125" customWidth="1"/>
    <col min="6" max="6" width="10.7109375" customWidth="1"/>
    <col min="7" max="11" width="11.5703125" customWidth="1"/>
  </cols>
  <sheetData>
    <row r="1" spans="1:12" x14ac:dyDescent="0.25">
      <c r="A1" t="s">
        <v>35</v>
      </c>
    </row>
    <row r="2" spans="1:12" x14ac:dyDescent="0.25">
      <c r="A2" t="s">
        <v>36</v>
      </c>
    </row>
    <row r="3" spans="1:12" x14ac:dyDescent="0.25">
      <c r="A3" t="s">
        <v>37</v>
      </c>
    </row>
    <row r="4" spans="1:12" ht="9.9499999999999993" customHeight="1" x14ac:dyDescent="0.25"/>
    <row r="5" spans="1:12" x14ac:dyDescent="0.25">
      <c r="A5" s="64" t="s">
        <v>61</v>
      </c>
      <c r="G5" s="64" t="s">
        <v>6</v>
      </c>
    </row>
    <row r="6" spans="1:12" ht="5.0999999999999996" customHeight="1" x14ac:dyDescent="0.25">
      <c r="A6" s="1"/>
    </row>
    <row r="7" spans="1:12" x14ac:dyDescent="0.25">
      <c r="A7" s="47" t="s">
        <v>1</v>
      </c>
      <c r="B7" s="47" t="s">
        <v>8</v>
      </c>
      <c r="C7" s="66" t="s">
        <v>2</v>
      </c>
      <c r="D7" s="47" t="s">
        <v>3</v>
      </c>
      <c r="E7" s="47" t="s">
        <v>4</v>
      </c>
      <c r="G7" s="47" t="s">
        <v>7</v>
      </c>
      <c r="H7" s="66" t="s">
        <v>1</v>
      </c>
      <c r="I7" s="47" t="s">
        <v>20</v>
      </c>
      <c r="J7" s="47" t="s">
        <v>8</v>
      </c>
      <c r="K7" s="47" t="s">
        <v>9</v>
      </c>
    </row>
    <row r="8" spans="1:12" x14ac:dyDescent="0.25">
      <c r="A8" s="4" t="s">
        <v>0</v>
      </c>
      <c r="B8" s="5">
        <v>42459</v>
      </c>
      <c r="C8" s="6">
        <v>51</v>
      </c>
      <c r="D8" s="6" t="s">
        <v>5</v>
      </c>
      <c r="E8" s="7">
        <v>300000</v>
      </c>
      <c r="G8" s="8" t="s">
        <v>10</v>
      </c>
      <c r="H8" s="8" t="s">
        <v>19</v>
      </c>
      <c r="I8" s="9">
        <v>20</v>
      </c>
      <c r="J8" s="10">
        <v>42462</v>
      </c>
      <c r="K8" s="11">
        <v>900000</v>
      </c>
    </row>
    <row r="9" spans="1:12" x14ac:dyDescent="0.25">
      <c r="C9" s="8"/>
      <c r="G9" s="4" t="s">
        <v>10</v>
      </c>
      <c r="H9" s="4" t="s">
        <v>38</v>
      </c>
      <c r="I9" s="6">
        <v>100</v>
      </c>
      <c r="J9" s="5">
        <v>42462</v>
      </c>
      <c r="K9" s="7">
        <v>200000</v>
      </c>
    </row>
    <row r="10" spans="1:12" x14ac:dyDescent="0.25">
      <c r="A10" s="64" t="s">
        <v>11</v>
      </c>
    </row>
    <row r="11" spans="1:12" ht="5.0999999999999996" customHeight="1" x14ac:dyDescent="0.25">
      <c r="A11" s="1"/>
    </row>
    <row r="12" spans="1:12" x14ac:dyDescent="0.25">
      <c r="A12" s="12" t="s">
        <v>86</v>
      </c>
      <c r="B12" s="13"/>
      <c r="C12" s="14">
        <v>810</v>
      </c>
      <c r="D12" s="15" t="s">
        <v>18</v>
      </c>
      <c r="E12" s="16">
        <v>42464</v>
      </c>
      <c r="G12" s="12" t="s">
        <v>86</v>
      </c>
      <c r="H12" s="13"/>
      <c r="I12" s="14">
        <v>811</v>
      </c>
      <c r="J12" s="15" t="s">
        <v>18</v>
      </c>
      <c r="K12" s="16">
        <v>42464</v>
      </c>
    </row>
    <row r="13" spans="1:12" x14ac:dyDescent="0.25">
      <c r="A13" s="17" t="s">
        <v>15</v>
      </c>
      <c r="B13" s="8"/>
      <c r="C13" s="9">
        <v>51</v>
      </c>
      <c r="D13" s="8"/>
      <c r="E13" s="18"/>
      <c r="G13" s="17" t="s">
        <v>15</v>
      </c>
      <c r="H13" s="8"/>
      <c r="I13" s="9">
        <v>52</v>
      </c>
      <c r="J13" s="8"/>
      <c r="K13" s="18"/>
    </row>
    <row r="14" spans="1:12" x14ac:dyDescent="0.25">
      <c r="A14" s="17" t="s">
        <v>16</v>
      </c>
      <c r="B14" s="8"/>
      <c r="C14" s="9" t="s">
        <v>17</v>
      </c>
      <c r="D14" s="8"/>
      <c r="E14" s="18"/>
      <c r="G14" s="17" t="s">
        <v>16</v>
      </c>
      <c r="H14" s="8"/>
      <c r="I14" s="9" t="s">
        <v>17</v>
      </c>
      <c r="J14" s="8"/>
      <c r="K14" s="18"/>
    </row>
    <row r="15" spans="1:12" x14ac:dyDescent="0.25">
      <c r="A15" s="147" t="s">
        <v>1</v>
      </c>
      <c r="B15" s="148"/>
      <c r="C15" s="47" t="s">
        <v>12</v>
      </c>
      <c r="D15" s="47" t="s">
        <v>13</v>
      </c>
      <c r="E15" s="48" t="s">
        <v>14</v>
      </c>
      <c r="G15" s="147" t="s">
        <v>1</v>
      </c>
      <c r="H15" s="148"/>
      <c r="I15" s="47" t="s">
        <v>12</v>
      </c>
      <c r="J15" s="47" t="s">
        <v>13</v>
      </c>
      <c r="K15" s="48" t="s">
        <v>14</v>
      </c>
    </row>
    <row r="16" spans="1:12" x14ac:dyDescent="0.25">
      <c r="A16" s="143" t="s">
        <v>87</v>
      </c>
      <c r="B16" s="144"/>
      <c r="C16" s="40">
        <v>10</v>
      </c>
      <c r="D16" s="11">
        <f>+K8/I8</f>
        <v>45000</v>
      </c>
      <c r="E16" s="19">
        <f>+C16*D16</f>
        <v>450000</v>
      </c>
      <c r="G16" s="143" t="s">
        <v>87</v>
      </c>
      <c r="H16" s="144"/>
      <c r="I16" s="40">
        <v>8</v>
      </c>
      <c r="J16" s="11">
        <v>45000</v>
      </c>
      <c r="K16" s="19">
        <f>+I16*J16</f>
        <v>360000</v>
      </c>
      <c r="L16" s="26"/>
    </row>
    <row r="17" spans="1:12" x14ac:dyDescent="0.25">
      <c r="A17" s="145" t="s">
        <v>88</v>
      </c>
      <c r="B17" s="146"/>
      <c r="C17" s="21">
        <v>70</v>
      </c>
      <c r="D17" s="7">
        <f>+K9/I9</f>
        <v>2000</v>
      </c>
      <c r="E17" s="22">
        <f>+C17*D17</f>
        <v>140000</v>
      </c>
      <c r="G17" s="145" t="s">
        <v>88</v>
      </c>
      <c r="H17" s="146"/>
      <c r="I17" s="21">
        <v>22</v>
      </c>
      <c r="J17" s="7">
        <f>+K9/I9</f>
        <v>2000</v>
      </c>
      <c r="K17" s="22">
        <f>+I17*J17</f>
        <v>44000</v>
      </c>
      <c r="L17" s="26"/>
    </row>
    <row r="18" spans="1:12" ht="5.0999999999999996" customHeight="1" x14ac:dyDescent="0.25"/>
    <row r="19" spans="1:12" x14ac:dyDescent="0.25">
      <c r="A19" s="64" t="s">
        <v>30</v>
      </c>
    </row>
    <row r="20" spans="1:12" ht="5.0999999999999996" customHeight="1" x14ac:dyDescent="0.25"/>
    <row r="21" spans="1:12" x14ac:dyDescent="0.25">
      <c r="A21" s="12" t="s">
        <v>21</v>
      </c>
      <c r="B21" s="14">
        <v>721</v>
      </c>
      <c r="C21" s="13"/>
      <c r="D21" s="15" t="s">
        <v>18</v>
      </c>
      <c r="E21" s="16">
        <v>42467</v>
      </c>
      <c r="F21" s="8"/>
      <c r="G21" s="12" t="s">
        <v>21</v>
      </c>
      <c r="H21" s="14">
        <v>723</v>
      </c>
      <c r="I21" s="13"/>
      <c r="J21" s="15" t="s">
        <v>18</v>
      </c>
      <c r="K21" s="16">
        <v>42467</v>
      </c>
    </row>
    <row r="22" spans="1:12" x14ac:dyDescent="0.25">
      <c r="A22" s="17" t="s">
        <v>89</v>
      </c>
      <c r="B22" s="9" t="s">
        <v>22</v>
      </c>
      <c r="C22" s="9" t="s">
        <v>27</v>
      </c>
      <c r="D22" s="23" t="s">
        <v>26</v>
      </c>
      <c r="E22" s="24" t="s">
        <v>17</v>
      </c>
      <c r="F22" s="8"/>
      <c r="G22" s="17" t="s">
        <v>89</v>
      </c>
      <c r="H22" s="9" t="s">
        <v>29</v>
      </c>
      <c r="I22" s="9" t="s">
        <v>27</v>
      </c>
      <c r="J22" s="23" t="s">
        <v>26</v>
      </c>
      <c r="K22" s="24" t="s">
        <v>17</v>
      </c>
    </row>
    <row r="23" spans="1:12" x14ac:dyDescent="0.25">
      <c r="A23" s="147" t="s">
        <v>23</v>
      </c>
      <c r="B23" s="148"/>
      <c r="C23" s="47" t="s">
        <v>24</v>
      </c>
      <c r="D23" s="47" t="s">
        <v>9</v>
      </c>
      <c r="E23" s="48" t="s">
        <v>25</v>
      </c>
      <c r="F23" s="8"/>
      <c r="G23" s="147" t="s">
        <v>23</v>
      </c>
      <c r="H23" s="148"/>
      <c r="I23" s="47" t="s">
        <v>24</v>
      </c>
      <c r="J23" s="47" t="s">
        <v>9</v>
      </c>
      <c r="K23" s="48" t="s">
        <v>25</v>
      </c>
    </row>
    <row r="24" spans="1:12" x14ac:dyDescent="0.25">
      <c r="A24" s="149">
        <v>20</v>
      </c>
      <c r="B24" s="150"/>
      <c r="C24" s="11">
        <v>7500</v>
      </c>
      <c r="D24" s="11">
        <v>150000</v>
      </c>
      <c r="E24" s="24">
        <v>51</v>
      </c>
      <c r="F24" s="8"/>
      <c r="G24" s="149">
        <v>20</v>
      </c>
      <c r="H24" s="150"/>
      <c r="I24" s="11">
        <v>7500</v>
      </c>
      <c r="J24" s="11">
        <v>150000</v>
      </c>
      <c r="K24" s="24">
        <v>51</v>
      </c>
    </row>
    <row r="25" spans="1:12" x14ac:dyDescent="0.25">
      <c r="A25" s="151">
        <v>18</v>
      </c>
      <c r="B25" s="152"/>
      <c r="C25" s="7">
        <f>+C24</f>
        <v>7500</v>
      </c>
      <c r="D25" s="7">
        <f>+A25*C25</f>
        <v>135000</v>
      </c>
      <c r="E25" s="65">
        <v>52</v>
      </c>
      <c r="F25" s="8"/>
      <c r="G25" s="151">
        <v>18</v>
      </c>
      <c r="H25" s="152"/>
      <c r="I25" s="7">
        <f>+I24</f>
        <v>7500</v>
      </c>
      <c r="J25" s="7">
        <f>+G25*I25</f>
        <v>135000</v>
      </c>
      <c r="K25" s="65">
        <v>52</v>
      </c>
    </row>
    <row r="26" spans="1:12" ht="5.099999999999999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2" x14ac:dyDescent="0.25">
      <c r="A27" s="12" t="s">
        <v>21</v>
      </c>
      <c r="B27" s="14">
        <v>722</v>
      </c>
      <c r="C27" s="13"/>
      <c r="D27" s="15" t="s">
        <v>18</v>
      </c>
      <c r="E27" s="16">
        <v>42467</v>
      </c>
      <c r="F27" s="8"/>
      <c r="G27" s="12" t="s">
        <v>21</v>
      </c>
      <c r="H27" s="13">
        <v>724</v>
      </c>
      <c r="I27" s="13"/>
      <c r="J27" s="15" t="s">
        <v>18</v>
      </c>
      <c r="K27" s="16">
        <v>42467</v>
      </c>
    </row>
    <row r="28" spans="1:12" x14ac:dyDescent="0.25">
      <c r="A28" s="17" t="s">
        <v>89</v>
      </c>
      <c r="B28" s="9" t="s">
        <v>28</v>
      </c>
      <c r="C28" s="9" t="s">
        <v>27</v>
      </c>
      <c r="D28" s="23" t="s">
        <v>26</v>
      </c>
      <c r="E28" s="24" t="s">
        <v>17</v>
      </c>
      <c r="F28" s="8"/>
      <c r="G28" s="17" t="s">
        <v>89</v>
      </c>
      <c r="H28" s="8" t="s">
        <v>31</v>
      </c>
      <c r="I28" s="9" t="s">
        <v>33</v>
      </c>
      <c r="J28" s="23" t="s">
        <v>26</v>
      </c>
      <c r="K28" s="24" t="s">
        <v>84</v>
      </c>
    </row>
    <row r="29" spans="1:12" x14ac:dyDescent="0.25">
      <c r="A29" s="147" t="s">
        <v>23</v>
      </c>
      <c r="B29" s="148"/>
      <c r="C29" s="47" t="s">
        <v>24</v>
      </c>
      <c r="D29" s="47" t="s">
        <v>9</v>
      </c>
      <c r="E29" s="48" t="s">
        <v>25</v>
      </c>
      <c r="F29" s="8"/>
      <c r="G29" s="17"/>
      <c r="H29" s="8" t="s">
        <v>32</v>
      </c>
      <c r="I29" s="9" t="s">
        <v>33</v>
      </c>
      <c r="J29" s="23"/>
      <c r="K29" s="24"/>
    </row>
    <row r="30" spans="1:12" x14ac:dyDescent="0.25">
      <c r="A30" s="149">
        <v>20</v>
      </c>
      <c r="B30" s="150"/>
      <c r="C30" s="11">
        <v>7500</v>
      </c>
      <c r="D30" s="11">
        <v>150000</v>
      </c>
      <c r="E30" s="24">
        <v>51</v>
      </c>
      <c r="F30" s="8"/>
      <c r="G30" s="147" t="s">
        <v>23</v>
      </c>
      <c r="H30" s="148"/>
      <c r="I30" s="47" t="s">
        <v>24</v>
      </c>
      <c r="J30" s="47" t="s">
        <v>9</v>
      </c>
      <c r="K30" s="48" t="s">
        <v>25</v>
      </c>
    </row>
    <row r="31" spans="1:12" x14ac:dyDescent="0.25">
      <c r="A31" s="151">
        <v>20</v>
      </c>
      <c r="B31" s="152"/>
      <c r="C31" s="7">
        <f>+C30</f>
        <v>7500</v>
      </c>
      <c r="D31" s="7">
        <f>+A31*C31</f>
        <v>150000</v>
      </c>
      <c r="E31" s="65">
        <v>52</v>
      </c>
      <c r="F31" s="8"/>
      <c r="G31" s="149">
        <v>40</v>
      </c>
      <c r="H31" s="150"/>
      <c r="I31" s="11">
        <f>+J31/G31</f>
        <v>4000</v>
      </c>
      <c r="J31" s="11">
        <v>160000</v>
      </c>
      <c r="K31" s="18"/>
    </row>
    <row r="32" spans="1:12" ht="15" customHeight="1" x14ac:dyDescent="0.25">
      <c r="A32" s="8"/>
      <c r="B32" s="8"/>
      <c r="C32" s="8"/>
      <c r="D32" s="8"/>
      <c r="E32" s="8"/>
      <c r="F32" s="8"/>
      <c r="G32" s="151">
        <v>40</v>
      </c>
      <c r="H32" s="152"/>
      <c r="I32" s="7">
        <f>+J32/G32</f>
        <v>4000</v>
      </c>
      <c r="J32" s="7">
        <v>160000</v>
      </c>
      <c r="K32" s="25"/>
    </row>
    <row r="34" spans="1:10" ht="15" customHeight="1" x14ac:dyDescent="0.25">
      <c r="A34" s="64" t="s">
        <v>64</v>
      </c>
      <c r="G34" s="64" t="s">
        <v>49</v>
      </c>
    </row>
    <row r="35" spans="1:10" x14ac:dyDescent="0.25">
      <c r="A35" s="147" t="s">
        <v>1</v>
      </c>
      <c r="B35" s="148"/>
      <c r="C35" s="148"/>
      <c r="D35" s="47" t="s">
        <v>47</v>
      </c>
      <c r="E35" s="48" t="s">
        <v>48</v>
      </c>
      <c r="F35" s="29"/>
      <c r="G35" s="31" t="s">
        <v>73</v>
      </c>
      <c r="H35" s="3"/>
      <c r="I35" s="32"/>
      <c r="J35" s="44">
        <v>100</v>
      </c>
    </row>
    <row r="36" spans="1:10" x14ac:dyDescent="0.25">
      <c r="A36" s="27" t="s">
        <v>44</v>
      </c>
      <c r="B36" s="28"/>
      <c r="C36" s="28"/>
      <c r="D36" s="11">
        <f>+K9</f>
        <v>200000</v>
      </c>
      <c r="E36" s="33" t="s">
        <v>45</v>
      </c>
      <c r="F36" s="58"/>
      <c r="G36" s="64" t="s">
        <v>74</v>
      </c>
    </row>
    <row r="37" spans="1:10" x14ac:dyDescent="0.25">
      <c r="A37" s="143" t="s">
        <v>46</v>
      </c>
      <c r="B37" s="144"/>
      <c r="C37" s="144"/>
      <c r="D37" s="11">
        <v>330000</v>
      </c>
      <c r="E37" s="33" t="s">
        <v>45</v>
      </c>
      <c r="F37" s="29"/>
      <c r="G37" s="11" t="s">
        <v>78</v>
      </c>
    </row>
    <row r="38" spans="1:10" x14ac:dyDescent="0.25">
      <c r="A38" s="143" t="s">
        <v>39</v>
      </c>
      <c r="B38" s="144"/>
      <c r="C38" s="144"/>
      <c r="D38" s="11">
        <v>180000</v>
      </c>
      <c r="E38" s="11">
        <v>182000</v>
      </c>
      <c r="F38" s="29"/>
      <c r="G38" s="8" t="s">
        <v>83</v>
      </c>
    </row>
    <row r="39" spans="1:10" x14ac:dyDescent="0.25">
      <c r="A39" s="143" t="s">
        <v>40</v>
      </c>
      <c r="B39" s="144"/>
      <c r="C39" s="144"/>
      <c r="D39" s="11">
        <v>140000</v>
      </c>
      <c r="E39" s="11">
        <v>138000</v>
      </c>
      <c r="F39" s="29"/>
      <c r="G39" s="11"/>
    </row>
    <row r="40" spans="1:10" x14ac:dyDescent="0.25">
      <c r="A40" s="143" t="s">
        <v>41</v>
      </c>
      <c r="B40" s="144"/>
      <c r="C40" s="144"/>
      <c r="D40" s="11">
        <v>100000</v>
      </c>
      <c r="E40" s="11">
        <v>102000</v>
      </c>
      <c r="F40" s="29"/>
      <c r="G40" s="64" t="s">
        <v>79</v>
      </c>
    </row>
    <row r="41" spans="1:10" x14ac:dyDescent="0.25">
      <c r="A41" s="143" t="s">
        <v>42</v>
      </c>
      <c r="B41" s="144"/>
      <c r="C41" s="144"/>
      <c r="D41" s="11">
        <v>65000</v>
      </c>
      <c r="E41" s="11">
        <v>68000</v>
      </c>
      <c r="F41" s="29"/>
      <c r="G41" s="11" t="s">
        <v>80</v>
      </c>
      <c r="J41" s="8" t="s">
        <v>85</v>
      </c>
    </row>
    <row r="42" spans="1:10" x14ac:dyDescent="0.25">
      <c r="A42" s="145" t="s">
        <v>43</v>
      </c>
      <c r="B42" s="146"/>
      <c r="C42" s="146"/>
      <c r="D42" s="7">
        <v>25000</v>
      </c>
      <c r="E42" s="7">
        <v>28000</v>
      </c>
      <c r="F42" s="29"/>
      <c r="G42" s="11" t="s">
        <v>81</v>
      </c>
    </row>
    <row r="43" spans="1:10" x14ac:dyDescent="0.25">
      <c r="A43" s="28"/>
      <c r="B43" s="28"/>
      <c r="C43" s="28"/>
      <c r="D43" s="11"/>
      <c r="E43" s="11"/>
      <c r="G43" s="11" t="s">
        <v>82</v>
      </c>
    </row>
    <row r="44" spans="1:10" x14ac:dyDescent="0.25">
      <c r="A44" s="64" t="s">
        <v>50</v>
      </c>
      <c r="D44" s="26"/>
    </row>
    <row r="45" spans="1:10" x14ac:dyDescent="0.25">
      <c r="D45" s="26"/>
    </row>
    <row r="46" spans="1:10" ht="18.75" x14ac:dyDescent="0.3">
      <c r="B46" s="153" t="s">
        <v>51</v>
      </c>
      <c r="C46" s="154"/>
      <c r="D46" s="154"/>
      <c r="E46" s="154"/>
      <c r="F46" s="154"/>
      <c r="G46" s="154"/>
      <c r="H46" s="154"/>
      <c r="I46" s="154"/>
      <c r="J46" s="155"/>
    </row>
    <row r="47" spans="1:10" ht="15.75" x14ac:dyDescent="0.25">
      <c r="B47" s="17"/>
      <c r="C47" s="8" t="s">
        <v>62</v>
      </c>
      <c r="D47" s="63">
        <v>51</v>
      </c>
      <c r="E47" s="11"/>
      <c r="F47" s="8" t="s">
        <v>52</v>
      </c>
      <c r="G47" s="8"/>
      <c r="H47" s="61">
        <v>42444</v>
      </c>
      <c r="I47" s="8"/>
      <c r="J47" s="18"/>
    </row>
    <row r="48" spans="1:10" x14ac:dyDescent="0.25">
      <c r="B48" s="17"/>
      <c r="C48" s="8" t="s">
        <v>26</v>
      </c>
      <c r="D48" s="60" t="s">
        <v>17</v>
      </c>
      <c r="E48" s="8"/>
      <c r="F48" s="8" t="s">
        <v>53</v>
      </c>
      <c r="G48" s="8"/>
      <c r="H48" s="61">
        <v>42490</v>
      </c>
      <c r="I48" s="8"/>
      <c r="J48" s="18"/>
    </row>
    <row r="49" spans="2:10" ht="15.75" thickBot="1" x14ac:dyDescent="0.3">
      <c r="B49" s="17"/>
      <c r="C49" s="8" t="s">
        <v>75</v>
      </c>
      <c r="D49" s="60" t="s">
        <v>76</v>
      </c>
      <c r="E49" s="11"/>
      <c r="F49" s="8" t="s">
        <v>66</v>
      </c>
      <c r="G49" s="8"/>
      <c r="H49" s="57">
        <v>8</v>
      </c>
      <c r="I49" s="8"/>
      <c r="J49" s="18"/>
    </row>
    <row r="50" spans="2:10" ht="15.75" thickBot="1" x14ac:dyDescent="0.3">
      <c r="B50" s="162" t="s">
        <v>58</v>
      </c>
      <c r="C50" s="157"/>
      <c r="D50" s="158"/>
      <c r="E50" s="159" t="s">
        <v>59</v>
      </c>
      <c r="F50" s="160"/>
      <c r="G50" s="161"/>
      <c r="H50" s="162" t="s">
        <v>60</v>
      </c>
      <c r="I50" s="157"/>
      <c r="J50" s="158"/>
    </row>
    <row r="51" spans="2:10" x14ac:dyDescent="0.25">
      <c r="B51" s="34" t="s">
        <v>54</v>
      </c>
      <c r="C51" s="34" t="s">
        <v>12</v>
      </c>
      <c r="D51" s="34" t="s">
        <v>55</v>
      </c>
      <c r="E51" s="34" t="s">
        <v>56</v>
      </c>
      <c r="F51" s="34" t="s">
        <v>57</v>
      </c>
      <c r="G51" s="34" t="s">
        <v>55</v>
      </c>
      <c r="H51" s="34" t="s">
        <v>57</v>
      </c>
      <c r="I51" s="34" t="s">
        <v>24</v>
      </c>
      <c r="J51" s="34" t="s">
        <v>55</v>
      </c>
    </row>
    <row r="52" spans="2:10" x14ac:dyDescent="0.25">
      <c r="B52" s="12"/>
      <c r="C52" s="14" t="s">
        <v>63</v>
      </c>
      <c r="D52" s="35">
        <f>+E8</f>
        <v>300000</v>
      </c>
      <c r="E52" s="37">
        <f>+B21</f>
        <v>721</v>
      </c>
      <c r="F52" s="14">
        <f>+A24</f>
        <v>20</v>
      </c>
      <c r="G52" s="35">
        <f>+D24</f>
        <v>150000</v>
      </c>
      <c r="H52" s="37">
        <f>+A24+A30+G24</f>
        <v>60</v>
      </c>
      <c r="I52" s="35">
        <f>+(SUM($D$36:$D$42))/$J$35</f>
        <v>10400</v>
      </c>
      <c r="J52" s="36">
        <f>+H52*I52</f>
        <v>624000</v>
      </c>
    </row>
    <row r="53" spans="2:10" x14ac:dyDescent="0.25">
      <c r="B53" s="38">
        <f>+C12</f>
        <v>810</v>
      </c>
      <c r="C53" s="40">
        <f>+C16</f>
        <v>10</v>
      </c>
      <c r="D53" s="11">
        <f>+C53*D16</f>
        <v>450000</v>
      </c>
      <c r="E53" s="38">
        <f>+B27</f>
        <v>722</v>
      </c>
      <c r="F53" s="9">
        <f>+A30</f>
        <v>20</v>
      </c>
      <c r="G53" s="11">
        <f>+D30</f>
        <v>150000</v>
      </c>
      <c r="H53" s="17"/>
      <c r="I53" s="8"/>
      <c r="J53" s="18"/>
    </row>
    <row r="54" spans="2:10" x14ac:dyDescent="0.25">
      <c r="B54" s="20"/>
      <c r="C54" s="4"/>
      <c r="D54" s="7"/>
      <c r="E54" s="39">
        <f>+H21</f>
        <v>723</v>
      </c>
      <c r="F54" s="6">
        <f>+G24</f>
        <v>20</v>
      </c>
      <c r="G54" s="7">
        <f>+J24</f>
        <v>150000</v>
      </c>
      <c r="H54" s="20"/>
      <c r="I54" s="4"/>
      <c r="J54" s="25"/>
    </row>
    <row r="55" spans="2:10" ht="5.0999999999999996" customHeight="1" x14ac:dyDescent="0.25">
      <c r="B55" s="17"/>
      <c r="C55" s="8"/>
      <c r="D55" s="11"/>
      <c r="E55" s="8"/>
      <c r="F55" s="8"/>
      <c r="G55" s="8"/>
      <c r="H55" s="8"/>
      <c r="I55" s="8"/>
      <c r="J55" s="18"/>
    </row>
    <row r="56" spans="2:10" x14ac:dyDescent="0.25">
      <c r="B56" s="147" t="s">
        <v>69</v>
      </c>
      <c r="C56" s="148"/>
      <c r="D56" s="164"/>
      <c r="E56" s="8"/>
      <c r="F56" s="147" t="s">
        <v>72</v>
      </c>
      <c r="G56" s="148"/>
      <c r="H56" s="164"/>
      <c r="I56" s="8"/>
      <c r="J56" s="18"/>
    </row>
    <row r="57" spans="2:10" x14ac:dyDescent="0.25">
      <c r="B57" s="12" t="s">
        <v>58</v>
      </c>
      <c r="C57" s="13"/>
      <c r="D57" s="36">
        <f>+D52+D53</f>
        <v>750000</v>
      </c>
      <c r="E57" s="8"/>
      <c r="F57" s="46" t="s">
        <v>8</v>
      </c>
      <c r="G57" s="50" t="s">
        <v>70</v>
      </c>
      <c r="H57" s="48" t="s">
        <v>71</v>
      </c>
      <c r="I57" s="8"/>
      <c r="J57" s="18"/>
    </row>
    <row r="58" spans="2:10" x14ac:dyDescent="0.25">
      <c r="B58" s="17" t="s">
        <v>59</v>
      </c>
      <c r="C58" s="8"/>
      <c r="D58" s="19">
        <f>+G52+G53+G54</f>
        <v>450000</v>
      </c>
      <c r="E58" s="8"/>
      <c r="F58" s="49">
        <v>42491</v>
      </c>
      <c r="G58" s="51"/>
      <c r="H58" s="45">
        <f>+H49</f>
        <v>8</v>
      </c>
      <c r="I58" s="8"/>
      <c r="J58" s="18"/>
    </row>
    <row r="59" spans="2:10" x14ac:dyDescent="0.25">
      <c r="B59" s="17" t="s">
        <v>65</v>
      </c>
      <c r="C59" s="8"/>
      <c r="D59" s="19">
        <f>+J52</f>
        <v>624000</v>
      </c>
      <c r="F59" s="54"/>
      <c r="G59" s="55"/>
      <c r="H59" s="56"/>
      <c r="J59" s="41"/>
    </row>
    <row r="60" spans="2:10" x14ac:dyDescent="0.25">
      <c r="B60" s="17" t="s">
        <v>68</v>
      </c>
      <c r="C60" s="8"/>
      <c r="D60" s="19">
        <f>+SUM(D57:D59)</f>
        <v>1824000</v>
      </c>
      <c r="F60" s="29"/>
      <c r="G60" s="52"/>
      <c r="H60" s="41"/>
      <c r="J60" s="41"/>
    </row>
    <row r="61" spans="2:10" x14ac:dyDescent="0.25">
      <c r="B61" s="20" t="s">
        <v>67</v>
      </c>
      <c r="C61" s="30"/>
      <c r="D61" s="22">
        <f>+D60/H49</f>
        <v>228000</v>
      </c>
      <c r="E61" s="30"/>
      <c r="F61" s="42"/>
      <c r="G61" s="53"/>
      <c r="H61" s="43"/>
      <c r="I61" s="30"/>
      <c r="J61" s="43"/>
    </row>
    <row r="64" spans="2:10" ht="18.75" x14ac:dyDescent="0.3">
      <c r="B64" s="153" t="s">
        <v>51</v>
      </c>
      <c r="C64" s="154"/>
      <c r="D64" s="154"/>
      <c r="E64" s="154"/>
      <c r="F64" s="154"/>
      <c r="G64" s="154"/>
      <c r="H64" s="154"/>
      <c r="I64" s="154"/>
      <c r="J64" s="155"/>
    </row>
    <row r="65" spans="2:10" ht="15.75" x14ac:dyDescent="0.25">
      <c r="B65" s="17"/>
      <c r="C65" s="8" t="s">
        <v>62</v>
      </c>
      <c r="D65" s="63">
        <v>52</v>
      </c>
      <c r="E65" s="11"/>
      <c r="F65" s="8" t="s">
        <v>52</v>
      </c>
      <c r="G65" s="8"/>
      <c r="H65" s="61">
        <v>42444</v>
      </c>
      <c r="I65" s="8"/>
      <c r="J65" s="18"/>
    </row>
    <row r="66" spans="2:10" x14ac:dyDescent="0.25">
      <c r="B66" s="17"/>
      <c r="C66" s="8" t="s">
        <v>26</v>
      </c>
      <c r="D66" s="60" t="s">
        <v>17</v>
      </c>
      <c r="E66" s="8"/>
      <c r="F66" s="8" t="s">
        <v>53</v>
      </c>
      <c r="G66" s="8"/>
      <c r="H66" s="62" t="s">
        <v>5</v>
      </c>
      <c r="I66" s="8"/>
      <c r="J66" s="18"/>
    </row>
    <row r="67" spans="2:10" ht="15.75" thickBot="1" x14ac:dyDescent="0.3">
      <c r="B67" s="17"/>
      <c r="C67" s="8" t="s">
        <v>75</v>
      </c>
      <c r="D67" s="60" t="s">
        <v>77</v>
      </c>
      <c r="E67" s="11"/>
      <c r="F67" s="8" t="s">
        <v>66</v>
      </c>
      <c r="G67" s="8"/>
      <c r="H67" s="62" t="s">
        <v>5</v>
      </c>
      <c r="I67" s="8"/>
      <c r="J67" s="18"/>
    </row>
    <row r="68" spans="2:10" ht="15.75" thickBot="1" x14ac:dyDescent="0.3">
      <c r="B68" s="156" t="s">
        <v>58</v>
      </c>
      <c r="C68" s="157"/>
      <c r="D68" s="158"/>
      <c r="E68" s="159" t="s">
        <v>59</v>
      </c>
      <c r="F68" s="160"/>
      <c r="G68" s="161"/>
      <c r="H68" s="162" t="s">
        <v>60</v>
      </c>
      <c r="I68" s="157"/>
      <c r="J68" s="163"/>
    </row>
    <row r="69" spans="2:10" x14ac:dyDescent="0.25">
      <c r="B69" s="34" t="s">
        <v>54</v>
      </c>
      <c r="C69" s="34" t="s">
        <v>12</v>
      </c>
      <c r="D69" s="34" t="s">
        <v>55</v>
      </c>
      <c r="E69" s="34" t="s">
        <v>56</v>
      </c>
      <c r="F69" s="34" t="s">
        <v>57</v>
      </c>
      <c r="G69" s="34" t="s">
        <v>55</v>
      </c>
      <c r="H69" s="34" t="s">
        <v>57</v>
      </c>
      <c r="I69" s="34" t="s">
        <v>24</v>
      </c>
      <c r="J69" s="34" t="s">
        <v>55</v>
      </c>
    </row>
    <row r="70" spans="2:10" x14ac:dyDescent="0.25">
      <c r="B70" s="37">
        <f>+I12</f>
        <v>811</v>
      </c>
      <c r="C70" s="59">
        <f>+I16</f>
        <v>8</v>
      </c>
      <c r="D70" s="35">
        <f>+C70*J16</f>
        <v>360000</v>
      </c>
      <c r="E70" s="37">
        <f>+B21</f>
        <v>721</v>
      </c>
      <c r="F70" s="14">
        <f>+A25</f>
        <v>18</v>
      </c>
      <c r="G70" s="35">
        <f>+D25</f>
        <v>135000</v>
      </c>
      <c r="H70" s="37">
        <f>+A25+A31+G25</f>
        <v>56</v>
      </c>
      <c r="I70" s="35">
        <f>+(SUM($D$36:$D$42))/$J$35</f>
        <v>10400</v>
      </c>
      <c r="J70" s="36">
        <f>+H70*I70</f>
        <v>582400</v>
      </c>
    </row>
    <row r="71" spans="2:10" x14ac:dyDescent="0.25">
      <c r="B71" s="38"/>
      <c r="C71" s="40"/>
      <c r="D71" s="11"/>
      <c r="E71" s="38">
        <f>+B27</f>
        <v>722</v>
      </c>
      <c r="F71" s="9">
        <f>+A31</f>
        <v>20</v>
      </c>
      <c r="G71" s="11">
        <f>+D31</f>
        <v>150000</v>
      </c>
      <c r="H71" s="17"/>
      <c r="I71" s="8"/>
      <c r="J71" s="18"/>
    </row>
    <row r="72" spans="2:10" x14ac:dyDescent="0.25">
      <c r="B72" s="20"/>
      <c r="C72" s="4"/>
      <c r="D72" s="7"/>
      <c r="E72" s="39">
        <f>+H21</f>
        <v>723</v>
      </c>
      <c r="F72" s="6">
        <f>+G25</f>
        <v>18</v>
      </c>
      <c r="G72" s="7">
        <f>+J25</f>
        <v>135000</v>
      </c>
      <c r="H72" s="20"/>
      <c r="I72" s="4"/>
      <c r="J72" s="25"/>
    </row>
    <row r="73" spans="2:10" x14ac:dyDescent="0.25">
      <c r="B73" s="17"/>
      <c r="C73" s="8"/>
      <c r="D73" s="11"/>
      <c r="E73" s="8"/>
      <c r="F73" s="8"/>
      <c r="G73" s="8"/>
      <c r="H73" s="8"/>
      <c r="I73" s="8"/>
      <c r="J73" s="18"/>
    </row>
    <row r="74" spans="2:10" x14ac:dyDescent="0.25">
      <c r="B74" s="147" t="s">
        <v>69</v>
      </c>
      <c r="C74" s="148"/>
      <c r="D74" s="164"/>
      <c r="E74" s="8"/>
      <c r="F74" s="147" t="s">
        <v>72</v>
      </c>
      <c r="G74" s="148"/>
      <c r="H74" s="164"/>
      <c r="I74" s="8"/>
      <c r="J74" s="18"/>
    </row>
    <row r="75" spans="2:10" x14ac:dyDescent="0.25">
      <c r="B75" s="12" t="s">
        <v>58</v>
      </c>
      <c r="C75" s="13"/>
      <c r="D75" s="36">
        <f>+D70+D71</f>
        <v>360000</v>
      </c>
      <c r="E75" s="8"/>
      <c r="F75" s="46" t="s">
        <v>8</v>
      </c>
      <c r="G75" s="50" t="s">
        <v>70</v>
      </c>
      <c r="H75" s="48" t="s">
        <v>71</v>
      </c>
      <c r="I75" s="8"/>
      <c r="J75" s="18"/>
    </row>
    <row r="76" spans="2:10" x14ac:dyDescent="0.25">
      <c r="B76" s="17" t="s">
        <v>59</v>
      </c>
      <c r="C76" s="8"/>
      <c r="D76" s="19">
        <f>+G70+G71+G72</f>
        <v>420000</v>
      </c>
      <c r="E76" s="8"/>
      <c r="F76" s="49">
        <v>42491</v>
      </c>
      <c r="G76" s="51"/>
      <c r="H76" s="45" t="str">
        <f>+H67</f>
        <v>En Proceso</v>
      </c>
      <c r="I76" s="8"/>
      <c r="J76" s="18"/>
    </row>
    <row r="77" spans="2:10" x14ac:dyDescent="0.25">
      <c r="B77" s="17" t="s">
        <v>65</v>
      </c>
      <c r="C77" s="8"/>
      <c r="D77" s="19">
        <f>+J70</f>
        <v>582400</v>
      </c>
      <c r="F77" s="54"/>
      <c r="G77" s="55"/>
      <c r="H77" s="56"/>
      <c r="J77" s="41"/>
    </row>
    <row r="78" spans="2:10" x14ac:dyDescent="0.25">
      <c r="B78" s="17" t="s">
        <v>68</v>
      </c>
      <c r="C78" s="8"/>
      <c r="D78" s="19">
        <f>+SUM(D75:D77)</f>
        <v>1362400</v>
      </c>
      <c r="F78" s="29"/>
      <c r="G78" s="52"/>
      <c r="H78" s="41"/>
      <c r="J78" s="41"/>
    </row>
    <row r="79" spans="2:10" x14ac:dyDescent="0.25">
      <c r="B79" s="20" t="s">
        <v>67</v>
      </c>
      <c r="C79" s="30"/>
      <c r="D79" s="22"/>
      <c r="E79" s="30"/>
      <c r="F79" s="42"/>
      <c r="G79" s="53"/>
      <c r="H79" s="43"/>
      <c r="I79" s="30"/>
      <c r="J79" s="43"/>
    </row>
  </sheetData>
  <mergeCells count="37">
    <mergeCell ref="H50:J50"/>
    <mergeCell ref="E50:G50"/>
    <mergeCell ref="B50:D50"/>
    <mergeCell ref="B56:D56"/>
    <mergeCell ref="F56:H56"/>
    <mergeCell ref="B64:J64"/>
    <mergeCell ref="B68:D68"/>
    <mergeCell ref="E68:G68"/>
    <mergeCell ref="H68:J68"/>
    <mergeCell ref="F74:H74"/>
    <mergeCell ref="B74:D74"/>
    <mergeCell ref="B46:J46"/>
    <mergeCell ref="A37:C37"/>
    <mergeCell ref="A15:B15"/>
    <mergeCell ref="G15:H15"/>
    <mergeCell ref="A23:B23"/>
    <mergeCell ref="A24:B24"/>
    <mergeCell ref="A16:B16"/>
    <mergeCell ref="A17:B17"/>
    <mergeCell ref="G16:H16"/>
    <mergeCell ref="G17:H17"/>
    <mergeCell ref="G23:H23"/>
    <mergeCell ref="G24:H24"/>
    <mergeCell ref="A25:B25"/>
    <mergeCell ref="A31:B31"/>
    <mergeCell ref="G25:H25"/>
    <mergeCell ref="A29:B29"/>
    <mergeCell ref="G30:H30"/>
    <mergeCell ref="G31:H31"/>
    <mergeCell ref="G32:H32"/>
    <mergeCell ref="A35:C35"/>
    <mergeCell ref="A30:B30"/>
    <mergeCell ref="A38:C38"/>
    <mergeCell ref="A39:C39"/>
    <mergeCell ref="A40:C40"/>
    <mergeCell ref="A42:C42"/>
    <mergeCell ref="A41:C41"/>
  </mergeCells>
  <pageMargins left="0.51181102362204722" right="0.51181102362204722" top="0.15748031496062992" bottom="0.15748031496062992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4"/>
  <sheetViews>
    <sheetView showGridLines="0" workbookViewId="0"/>
  </sheetViews>
  <sheetFormatPr baseColWidth="10" defaultRowHeight="15" x14ac:dyDescent="0.25"/>
  <cols>
    <col min="1" max="5" width="11.5703125" customWidth="1"/>
    <col min="6" max="6" width="11.140625" customWidth="1"/>
    <col min="7" max="11" width="11.5703125" customWidth="1"/>
  </cols>
  <sheetData>
    <row r="1" spans="1:12" x14ac:dyDescent="0.25">
      <c r="A1" t="s">
        <v>35</v>
      </c>
    </row>
    <row r="2" spans="1:12" x14ac:dyDescent="0.25">
      <c r="A2" t="s">
        <v>36</v>
      </c>
    </row>
    <row r="3" spans="1:12" x14ac:dyDescent="0.25">
      <c r="A3" t="s">
        <v>37</v>
      </c>
    </row>
    <row r="4" spans="1:12" ht="9.9499999999999993" customHeight="1" x14ac:dyDescent="0.25"/>
    <row r="5" spans="1:12" x14ac:dyDescent="0.25">
      <c r="A5" s="64" t="s">
        <v>61</v>
      </c>
      <c r="G5" s="64" t="s">
        <v>94</v>
      </c>
    </row>
    <row r="6" spans="1:12" ht="5.0999999999999996" customHeight="1" x14ac:dyDescent="0.25">
      <c r="A6" s="1"/>
    </row>
    <row r="7" spans="1:12" x14ac:dyDescent="0.25">
      <c r="A7" s="47" t="s">
        <v>1</v>
      </c>
      <c r="B7" s="47" t="s">
        <v>8</v>
      </c>
      <c r="C7" s="66" t="s">
        <v>2</v>
      </c>
      <c r="D7" s="47" t="s">
        <v>3</v>
      </c>
      <c r="E7" s="47" t="s">
        <v>4</v>
      </c>
      <c r="G7" s="47" t="s">
        <v>7</v>
      </c>
      <c r="H7" s="66" t="s">
        <v>1</v>
      </c>
      <c r="I7" s="47" t="s">
        <v>20</v>
      </c>
      <c r="J7" s="47" t="s">
        <v>8</v>
      </c>
      <c r="K7" s="47" t="s">
        <v>9</v>
      </c>
    </row>
    <row r="8" spans="1:12" x14ac:dyDescent="0.25">
      <c r="A8" s="4" t="s">
        <v>0</v>
      </c>
      <c r="B8" s="5">
        <v>42459</v>
      </c>
      <c r="C8" s="6">
        <v>51</v>
      </c>
      <c r="D8" s="6" t="s">
        <v>5</v>
      </c>
      <c r="E8" s="7">
        <v>300000</v>
      </c>
      <c r="G8" s="8" t="s">
        <v>10</v>
      </c>
      <c r="H8" s="8" t="s">
        <v>19</v>
      </c>
      <c r="I8" s="9">
        <v>20</v>
      </c>
      <c r="J8" s="10">
        <v>42462</v>
      </c>
      <c r="K8" s="11">
        <f>+I8*60000</f>
        <v>1200000</v>
      </c>
    </row>
    <row r="9" spans="1:12" x14ac:dyDescent="0.25">
      <c r="C9" s="8"/>
      <c r="G9" s="4" t="s">
        <v>10</v>
      </c>
      <c r="H9" s="4" t="s">
        <v>38</v>
      </c>
      <c r="I9" s="6">
        <v>100</v>
      </c>
      <c r="J9" s="5">
        <v>42462</v>
      </c>
      <c r="K9" s="7">
        <v>200000</v>
      </c>
    </row>
    <row r="10" spans="1:12" x14ac:dyDescent="0.25">
      <c r="A10" s="64" t="s">
        <v>11</v>
      </c>
    </row>
    <row r="11" spans="1:12" ht="5.0999999999999996" customHeight="1" x14ac:dyDescent="0.25">
      <c r="A11" s="1"/>
    </row>
    <row r="12" spans="1:12" x14ac:dyDescent="0.25">
      <c r="A12" s="12" t="s">
        <v>86</v>
      </c>
      <c r="B12" s="13"/>
      <c r="C12" s="14">
        <v>810</v>
      </c>
      <c r="D12" s="15" t="s">
        <v>18</v>
      </c>
      <c r="E12" s="16">
        <v>42464</v>
      </c>
      <c r="G12" s="12" t="s">
        <v>86</v>
      </c>
      <c r="H12" s="13"/>
      <c r="I12" s="14">
        <v>811</v>
      </c>
      <c r="J12" s="15" t="s">
        <v>18</v>
      </c>
      <c r="K12" s="16">
        <v>42464</v>
      </c>
    </row>
    <row r="13" spans="1:12" x14ac:dyDescent="0.25">
      <c r="A13" s="17" t="s">
        <v>15</v>
      </c>
      <c r="B13" s="8"/>
      <c r="C13" s="9">
        <v>51</v>
      </c>
      <c r="D13" s="23" t="s">
        <v>26</v>
      </c>
      <c r="E13" s="24" t="s">
        <v>17</v>
      </c>
      <c r="G13" s="17" t="s">
        <v>15</v>
      </c>
      <c r="H13" s="8"/>
      <c r="I13" s="9">
        <v>52</v>
      </c>
      <c r="J13" s="23" t="s">
        <v>26</v>
      </c>
      <c r="K13" s="24" t="s">
        <v>17</v>
      </c>
    </row>
    <row r="14" spans="1:12" x14ac:dyDescent="0.25">
      <c r="A14" s="147" t="s">
        <v>1</v>
      </c>
      <c r="B14" s="148"/>
      <c r="C14" s="47" t="s">
        <v>12</v>
      </c>
      <c r="D14" s="47" t="s">
        <v>13</v>
      </c>
      <c r="E14" s="48" t="s">
        <v>14</v>
      </c>
      <c r="G14" s="147" t="s">
        <v>1</v>
      </c>
      <c r="H14" s="148"/>
      <c r="I14" s="47" t="s">
        <v>12</v>
      </c>
      <c r="J14" s="47" t="s">
        <v>13</v>
      </c>
      <c r="K14" s="48" t="s">
        <v>14</v>
      </c>
    </row>
    <row r="15" spans="1:12" x14ac:dyDescent="0.25">
      <c r="A15" s="143" t="s">
        <v>87</v>
      </c>
      <c r="B15" s="144"/>
      <c r="C15" s="40">
        <v>10</v>
      </c>
      <c r="D15" s="11">
        <f>+$K$8/$I$8</f>
        <v>60000</v>
      </c>
      <c r="E15" s="19">
        <f>+C15*D15</f>
        <v>600000</v>
      </c>
      <c r="G15" s="143" t="s">
        <v>87</v>
      </c>
      <c r="H15" s="144"/>
      <c r="I15" s="40">
        <v>8</v>
      </c>
      <c r="J15" s="11">
        <f>+$K$8/$I$8</f>
        <v>60000</v>
      </c>
      <c r="K15" s="19">
        <f>+I15*J15</f>
        <v>480000</v>
      </c>
      <c r="L15" s="26"/>
    </row>
    <row r="16" spans="1:12" x14ac:dyDescent="0.25">
      <c r="A16" s="145" t="s">
        <v>88</v>
      </c>
      <c r="B16" s="146"/>
      <c r="C16" s="21">
        <v>70</v>
      </c>
      <c r="D16" s="7">
        <f>+K9/I9</f>
        <v>2000</v>
      </c>
      <c r="E16" s="22">
        <f>+C16*D16</f>
        <v>140000</v>
      </c>
      <c r="G16" s="145" t="s">
        <v>88</v>
      </c>
      <c r="H16" s="146"/>
      <c r="I16" s="21">
        <v>22</v>
      </c>
      <c r="J16" s="7">
        <f>+K9/I9</f>
        <v>2000</v>
      </c>
      <c r="K16" s="22">
        <f>+I16*J16</f>
        <v>44000</v>
      </c>
      <c r="L16" s="26"/>
    </row>
    <row r="17" spans="1:11" ht="5.0999999999999996" customHeight="1" x14ac:dyDescent="0.25"/>
    <row r="18" spans="1:11" x14ac:dyDescent="0.25">
      <c r="A18" s="64" t="s">
        <v>30</v>
      </c>
    </row>
    <row r="19" spans="1:11" ht="5.0999999999999996" customHeight="1" x14ac:dyDescent="0.25"/>
    <row r="20" spans="1:11" x14ac:dyDescent="0.25">
      <c r="A20" s="12" t="s">
        <v>21</v>
      </c>
      <c r="B20" s="14">
        <v>721</v>
      </c>
      <c r="C20" s="13"/>
      <c r="D20" s="15" t="s">
        <v>18</v>
      </c>
      <c r="E20" s="16">
        <v>42467</v>
      </c>
      <c r="F20" s="8"/>
      <c r="G20" s="12" t="s">
        <v>21</v>
      </c>
      <c r="H20" s="14">
        <v>723</v>
      </c>
      <c r="I20" s="13"/>
      <c r="J20" s="15" t="s">
        <v>18</v>
      </c>
      <c r="K20" s="16">
        <v>42467</v>
      </c>
    </row>
    <row r="21" spans="1:11" x14ac:dyDescent="0.25">
      <c r="A21" s="17" t="s">
        <v>89</v>
      </c>
      <c r="B21" s="9" t="s">
        <v>22</v>
      </c>
      <c r="C21" s="9" t="s">
        <v>27</v>
      </c>
      <c r="D21" s="23" t="s">
        <v>26</v>
      </c>
      <c r="E21" s="24" t="s">
        <v>17</v>
      </c>
      <c r="F21" s="8"/>
      <c r="G21" s="17" t="s">
        <v>89</v>
      </c>
      <c r="H21" s="9" t="s">
        <v>29</v>
      </c>
      <c r="I21" s="9" t="s">
        <v>27</v>
      </c>
      <c r="J21" s="23" t="s">
        <v>26</v>
      </c>
      <c r="K21" s="24" t="s">
        <v>17</v>
      </c>
    </row>
    <row r="22" spans="1:11" x14ac:dyDescent="0.25">
      <c r="A22" s="147" t="s">
        <v>23</v>
      </c>
      <c r="B22" s="148"/>
      <c r="C22" s="47" t="s">
        <v>90</v>
      </c>
      <c r="D22" s="47" t="s">
        <v>9</v>
      </c>
      <c r="E22" s="48" t="s">
        <v>25</v>
      </c>
      <c r="F22" s="8"/>
      <c r="G22" s="147" t="s">
        <v>23</v>
      </c>
      <c r="H22" s="148"/>
      <c r="I22" s="47" t="s">
        <v>90</v>
      </c>
      <c r="J22" s="47" t="s">
        <v>9</v>
      </c>
      <c r="K22" s="48" t="s">
        <v>25</v>
      </c>
    </row>
    <row r="23" spans="1:11" x14ac:dyDescent="0.25">
      <c r="A23" s="149">
        <v>20</v>
      </c>
      <c r="B23" s="150"/>
      <c r="C23" s="11">
        <v>500</v>
      </c>
      <c r="D23" s="11">
        <f>+A23*C23</f>
        <v>10000</v>
      </c>
      <c r="E23" s="24">
        <v>51</v>
      </c>
      <c r="F23" s="8"/>
      <c r="G23" s="149">
        <v>20</v>
      </c>
      <c r="H23" s="150"/>
      <c r="I23" s="11">
        <v>500</v>
      </c>
      <c r="J23" s="11">
        <f>+G23*I23</f>
        <v>10000</v>
      </c>
      <c r="K23" s="24">
        <v>51</v>
      </c>
    </row>
    <row r="24" spans="1:11" x14ac:dyDescent="0.25">
      <c r="A24" s="151">
        <v>18</v>
      </c>
      <c r="B24" s="152"/>
      <c r="C24" s="7">
        <f>+C23</f>
        <v>500</v>
      </c>
      <c r="D24" s="7">
        <f>+A24*C24</f>
        <v>9000</v>
      </c>
      <c r="E24" s="65">
        <v>52</v>
      </c>
      <c r="F24" s="8"/>
      <c r="G24" s="151">
        <v>18</v>
      </c>
      <c r="H24" s="152"/>
      <c r="I24" s="7">
        <f>+I23</f>
        <v>500</v>
      </c>
      <c r="J24" s="7">
        <f>+G24*I24</f>
        <v>9000</v>
      </c>
      <c r="K24" s="65">
        <v>52</v>
      </c>
    </row>
    <row r="25" spans="1:11" ht="5.099999999999999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12" t="s">
        <v>21</v>
      </c>
      <c r="B26" s="14">
        <v>722</v>
      </c>
      <c r="C26" s="13"/>
      <c r="D26" s="15" t="s">
        <v>18</v>
      </c>
      <c r="E26" s="16">
        <v>42467</v>
      </c>
      <c r="F26" s="8"/>
      <c r="G26" s="12" t="s">
        <v>21</v>
      </c>
      <c r="H26" s="13">
        <v>724</v>
      </c>
      <c r="I26" s="13"/>
      <c r="J26" s="15" t="s">
        <v>18</v>
      </c>
      <c r="K26" s="16">
        <v>42467</v>
      </c>
    </row>
    <row r="27" spans="1:11" x14ac:dyDescent="0.25">
      <c r="A27" s="17" t="s">
        <v>89</v>
      </c>
      <c r="B27" s="9" t="s">
        <v>28</v>
      </c>
      <c r="C27" s="9" t="s">
        <v>27</v>
      </c>
      <c r="D27" s="23" t="s">
        <v>26</v>
      </c>
      <c r="E27" s="24" t="s">
        <v>17</v>
      </c>
      <c r="F27" s="8"/>
      <c r="G27" s="17" t="s">
        <v>89</v>
      </c>
      <c r="H27" s="8" t="s">
        <v>31</v>
      </c>
      <c r="I27" s="9" t="s">
        <v>33</v>
      </c>
      <c r="J27" s="23" t="s">
        <v>26</v>
      </c>
      <c r="K27" s="24" t="s">
        <v>84</v>
      </c>
    </row>
    <row r="28" spans="1:11" x14ac:dyDescent="0.25">
      <c r="A28" s="147" t="s">
        <v>23</v>
      </c>
      <c r="B28" s="148"/>
      <c r="C28" s="47" t="s">
        <v>90</v>
      </c>
      <c r="D28" s="47" t="s">
        <v>9</v>
      </c>
      <c r="E28" s="48" t="s">
        <v>25</v>
      </c>
      <c r="F28" s="8"/>
      <c r="G28" s="17"/>
      <c r="H28" s="8" t="s">
        <v>32</v>
      </c>
      <c r="I28" s="9" t="s">
        <v>33</v>
      </c>
      <c r="J28" s="23"/>
      <c r="K28" s="24"/>
    </row>
    <row r="29" spans="1:11" x14ac:dyDescent="0.25">
      <c r="A29" s="149">
        <v>20</v>
      </c>
      <c r="B29" s="150"/>
      <c r="C29" s="11">
        <v>500</v>
      </c>
      <c r="D29" s="11">
        <f>+A29*C29</f>
        <v>10000</v>
      </c>
      <c r="E29" s="24">
        <v>51</v>
      </c>
      <c r="F29" s="8"/>
      <c r="G29" s="147" t="s">
        <v>23</v>
      </c>
      <c r="H29" s="148"/>
      <c r="I29" s="47" t="s">
        <v>90</v>
      </c>
      <c r="J29" s="47" t="s">
        <v>9</v>
      </c>
      <c r="K29" s="48" t="s">
        <v>25</v>
      </c>
    </row>
    <row r="30" spans="1:11" x14ac:dyDescent="0.25">
      <c r="A30" s="151">
        <v>20</v>
      </c>
      <c r="B30" s="152"/>
      <c r="C30" s="7">
        <f>+C29</f>
        <v>500</v>
      </c>
      <c r="D30" s="7">
        <f>+A30*C30</f>
        <v>10000</v>
      </c>
      <c r="E30" s="65">
        <v>52</v>
      </c>
      <c r="F30" s="8"/>
      <c r="G30" s="149">
        <v>40</v>
      </c>
      <c r="H30" s="150"/>
      <c r="I30" s="11">
        <v>600</v>
      </c>
      <c r="J30" s="11">
        <f>+G30*I30</f>
        <v>24000</v>
      </c>
      <c r="K30" s="18"/>
    </row>
    <row r="31" spans="1:11" ht="15" customHeight="1" x14ac:dyDescent="0.25">
      <c r="A31" s="8"/>
      <c r="B31" s="8"/>
      <c r="C31" s="8"/>
      <c r="D31" s="8"/>
      <c r="E31" s="8"/>
      <c r="F31" s="8"/>
      <c r="G31" s="151">
        <v>40</v>
      </c>
      <c r="H31" s="152"/>
      <c r="I31" s="7">
        <v>600</v>
      </c>
      <c r="J31" s="7">
        <f>+G31*I31</f>
        <v>24000</v>
      </c>
      <c r="K31" s="25"/>
    </row>
    <row r="33" spans="1:11" ht="15" customHeight="1" x14ac:dyDescent="0.25">
      <c r="A33" s="64" t="s">
        <v>34</v>
      </c>
      <c r="G33" s="64" t="s">
        <v>49</v>
      </c>
    </row>
    <row r="34" spans="1:11" x14ac:dyDescent="0.25">
      <c r="A34" s="147" t="s">
        <v>1</v>
      </c>
      <c r="B34" s="148"/>
      <c r="C34" s="148"/>
      <c r="D34" s="47" t="s">
        <v>47</v>
      </c>
      <c r="E34" s="48" t="s">
        <v>48</v>
      </c>
      <c r="F34" s="29"/>
      <c r="G34" s="31" t="s">
        <v>73</v>
      </c>
      <c r="H34" s="3"/>
      <c r="I34" s="32"/>
      <c r="J34" s="44">
        <v>120</v>
      </c>
    </row>
    <row r="35" spans="1:11" x14ac:dyDescent="0.25">
      <c r="A35" s="27" t="s">
        <v>44</v>
      </c>
      <c r="B35" s="28"/>
      <c r="C35" s="28"/>
      <c r="D35" s="11">
        <f>+K9</f>
        <v>200000</v>
      </c>
      <c r="E35" s="33" t="s">
        <v>45</v>
      </c>
      <c r="F35" s="58"/>
      <c r="G35" s="64" t="s">
        <v>74</v>
      </c>
    </row>
    <row r="36" spans="1:11" x14ac:dyDescent="0.25">
      <c r="A36" s="143" t="s">
        <v>46</v>
      </c>
      <c r="B36" s="144"/>
      <c r="C36" s="144"/>
      <c r="D36" s="11">
        <v>48000</v>
      </c>
      <c r="E36" s="33" t="s">
        <v>45</v>
      </c>
      <c r="F36" s="29"/>
      <c r="G36" s="11" t="s">
        <v>204</v>
      </c>
    </row>
    <row r="37" spans="1:11" x14ac:dyDescent="0.25">
      <c r="A37" s="143" t="s">
        <v>39</v>
      </c>
      <c r="B37" s="144"/>
      <c r="C37" s="144"/>
      <c r="D37" s="11">
        <v>180000</v>
      </c>
      <c r="E37" s="11">
        <v>182000</v>
      </c>
      <c r="F37" s="29"/>
      <c r="G37" s="8" t="s">
        <v>205</v>
      </c>
    </row>
    <row r="38" spans="1:11" x14ac:dyDescent="0.25">
      <c r="A38" s="143" t="s">
        <v>40</v>
      </c>
      <c r="B38" s="144"/>
      <c r="C38" s="144"/>
      <c r="D38" s="11">
        <v>140000</v>
      </c>
      <c r="E38" s="11">
        <v>138000</v>
      </c>
      <c r="F38" s="29"/>
      <c r="G38" s="11" t="s">
        <v>206</v>
      </c>
    </row>
    <row r="39" spans="1:11" x14ac:dyDescent="0.25">
      <c r="A39" s="143" t="s">
        <v>41</v>
      </c>
      <c r="B39" s="144"/>
      <c r="C39" s="144"/>
      <c r="D39" s="11">
        <v>100000</v>
      </c>
      <c r="E39" s="11">
        <v>102000</v>
      </c>
      <c r="F39" s="29"/>
      <c r="G39" s="64" t="s">
        <v>79</v>
      </c>
      <c r="J39" s="112" t="s">
        <v>188</v>
      </c>
    </row>
    <row r="40" spans="1:11" x14ac:dyDescent="0.25">
      <c r="A40" s="143" t="s">
        <v>42</v>
      </c>
      <c r="B40" s="144"/>
      <c r="C40" s="144"/>
      <c r="D40" s="11">
        <v>65000</v>
      </c>
      <c r="E40" s="11">
        <v>68000</v>
      </c>
      <c r="F40" s="29"/>
      <c r="G40" s="111" t="s">
        <v>80</v>
      </c>
      <c r="H40" s="112"/>
      <c r="I40" s="112"/>
      <c r="J40" s="112" t="s">
        <v>189</v>
      </c>
      <c r="K40" s="112"/>
    </row>
    <row r="41" spans="1:11" x14ac:dyDescent="0.25">
      <c r="A41" s="145" t="s">
        <v>43</v>
      </c>
      <c r="B41" s="146"/>
      <c r="C41" s="146"/>
      <c r="D41" s="7">
        <v>25000</v>
      </c>
      <c r="E41" s="7">
        <v>28000</v>
      </c>
      <c r="F41" s="29"/>
      <c r="G41" s="111" t="s">
        <v>81</v>
      </c>
      <c r="H41" s="112"/>
      <c r="I41" s="112"/>
      <c r="J41" s="112" t="s">
        <v>190</v>
      </c>
      <c r="K41" s="112"/>
    </row>
    <row r="42" spans="1:11" x14ac:dyDescent="0.25">
      <c r="A42" s="28"/>
      <c r="B42" s="28"/>
      <c r="C42" s="28"/>
      <c r="D42" s="11"/>
      <c r="E42" s="11"/>
      <c r="G42" s="111" t="s">
        <v>82</v>
      </c>
      <c r="H42" s="112"/>
      <c r="I42" s="112"/>
      <c r="J42" s="112" t="s">
        <v>191</v>
      </c>
      <c r="K42" s="112"/>
    </row>
    <row r="43" spans="1:11" x14ac:dyDescent="0.25">
      <c r="A43" s="28"/>
      <c r="B43" s="28"/>
      <c r="C43" s="28"/>
      <c r="D43" s="11"/>
      <c r="E43" s="11"/>
      <c r="G43" s="111" t="s">
        <v>144</v>
      </c>
      <c r="H43" s="112"/>
      <c r="I43" s="112"/>
      <c r="J43" s="112" t="s">
        <v>192</v>
      </c>
      <c r="K43" s="112"/>
    </row>
    <row r="44" spans="1:11" x14ac:dyDescent="0.25">
      <c r="A44" s="28"/>
      <c r="B44" s="28"/>
      <c r="C44" s="28"/>
      <c r="D44" s="11"/>
      <c r="E44" s="11"/>
      <c r="G44" s="11"/>
      <c r="J44" s="8"/>
    </row>
    <row r="45" spans="1:11" ht="15.75" x14ac:dyDescent="0.25">
      <c r="A45" s="92" t="s">
        <v>50</v>
      </c>
      <c r="D45" s="26"/>
      <c r="J45" s="26"/>
    </row>
    <row r="46" spans="1:11" ht="15.75" thickBot="1" x14ac:dyDescent="0.3">
      <c r="D46" s="26"/>
    </row>
    <row r="47" spans="1:11" ht="18.75" x14ac:dyDescent="0.3">
      <c r="B47" s="170" t="s">
        <v>51</v>
      </c>
      <c r="C47" s="171"/>
      <c r="D47" s="171"/>
      <c r="E47" s="171"/>
      <c r="F47" s="171"/>
      <c r="G47" s="171"/>
      <c r="H47" s="171"/>
      <c r="I47" s="171"/>
      <c r="J47" s="172"/>
    </row>
    <row r="48" spans="1:11" ht="15.75" x14ac:dyDescent="0.25">
      <c r="B48" s="67"/>
      <c r="C48" s="8" t="s">
        <v>62</v>
      </c>
      <c r="D48" s="63">
        <v>51</v>
      </c>
      <c r="E48" s="11"/>
      <c r="F48" s="8" t="s">
        <v>52</v>
      </c>
      <c r="G48" s="8"/>
      <c r="H48" s="61">
        <v>42444</v>
      </c>
      <c r="I48" s="8"/>
      <c r="J48" s="68"/>
    </row>
    <row r="49" spans="1:10" x14ac:dyDescent="0.25">
      <c r="B49" s="67"/>
      <c r="C49" s="8" t="s">
        <v>26</v>
      </c>
      <c r="D49" s="60" t="s">
        <v>17</v>
      </c>
      <c r="E49" s="8"/>
      <c r="F49" s="8" t="s">
        <v>53</v>
      </c>
      <c r="G49" s="8"/>
      <c r="H49" s="61">
        <v>42490</v>
      </c>
      <c r="I49" s="8"/>
      <c r="J49" s="68"/>
    </row>
    <row r="50" spans="1:10" ht="15.75" thickBot="1" x14ac:dyDescent="0.3">
      <c r="B50" s="67"/>
      <c r="C50" s="8" t="s">
        <v>75</v>
      </c>
      <c r="D50" s="60" t="s">
        <v>76</v>
      </c>
      <c r="E50" s="11"/>
      <c r="F50" s="8" t="s">
        <v>66</v>
      </c>
      <c r="G50" s="8"/>
      <c r="H50" s="57">
        <v>4</v>
      </c>
      <c r="I50" s="8"/>
      <c r="J50" s="68"/>
    </row>
    <row r="51" spans="1:10" ht="15.75" thickBot="1" x14ac:dyDescent="0.3">
      <c r="B51" s="162" t="s">
        <v>58</v>
      </c>
      <c r="C51" s="157"/>
      <c r="D51" s="158"/>
      <c r="E51" s="159" t="s">
        <v>59</v>
      </c>
      <c r="F51" s="160"/>
      <c r="G51" s="161"/>
      <c r="H51" s="162" t="s">
        <v>60</v>
      </c>
      <c r="I51" s="157"/>
      <c r="J51" s="158"/>
    </row>
    <row r="52" spans="1:10" x14ac:dyDescent="0.25">
      <c r="B52" s="69" t="s">
        <v>54</v>
      </c>
      <c r="C52" s="34" t="s">
        <v>12</v>
      </c>
      <c r="D52" s="34" t="s">
        <v>55</v>
      </c>
      <c r="E52" s="34" t="s">
        <v>56</v>
      </c>
      <c r="F52" s="34" t="s">
        <v>57</v>
      </c>
      <c r="G52" s="34" t="s">
        <v>55</v>
      </c>
      <c r="H52" s="34" t="s">
        <v>57</v>
      </c>
      <c r="I52" s="34" t="s">
        <v>24</v>
      </c>
      <c r="J52" s="70" t="s">
        <v>55</v>
      </c>
    </row>
    <row r="53" spans="1:10" x14ac:dyDescent="0.25">
      <c r="B53" s="71"/>
      <c r="C53" s="14" t="s">
        <v>63</v>
      </c>
      <c r="D53" s="35">
        <f>+E8</f>
        <v>300000</v>
      </c>
      <c r="E53" s="37">
        <f>+B20</f>
        <v>721</v>
      </c>
      <c r="F53" s="14">
        <f>+A23</f>
        <v>20</v>
      </c>
      <c r="G53" s="35">
        <f>+D23</f>
        <v>10000</v>
      </c>
      <c r="H53" s="37">
        <f>+A23+A29+G23</f>
        <v>60</v>
      </c>
      <c r="I53" s="35">
        <f>+(SUM($D$35:$D$41))/$J$34</f>
        <v>6316.666666666667</v>
      </c>
      <c r="J53" s="72">
        <f>+H53*I53</f>
        <v>379000</v>
      </c>
    </row>
    <row r="54" spans="1:10" x14ac:dyDescent="0.25">
      <c r="B54" s="73">
        <f>+C12</f>
        <v>810</v>
      </c>
      <c r="C54" s="40">
        <f>+C15</f>
        <v>10</v>
      </c>
      <c r="D54" s="11">
        <f>+C54*D15</f>
        <v>600000</v>
      </c>
      <c r="E54" s="38">
        <f>+B26</f>
        <v>722</v>
      </c>
      <c r="F54" s="9">
        <f>+A29</f>
        <v>20</v>
      </c>
      <c r="G54" s="11">
        <f>+D29</f>
        <v>10000</v>
      </c>
      <c r="H54" s="17"/>
      <c r="I54" s="8"/>
      <c r="J54" s="68"/>
    </row>
    <row r="55" spans="1:10" x14ac:dyDescent="0.25">
      <c r="B55" s="74"/>
      <c r="C55" s="4"/>
      <c r="D55" s="7"/>
      <c r="E55" s="39">
        <f>+H20</f>
        <v>723</v>
      </c>
      <c r="F55" s="6">
        <f>+G23</f>
        <v>20</v>
      </c>
      <c r="G55" s="7">
        <f>+J23</f>
        <v>10000</v>
      </c>
      <c r="H55" s="20"/>
      <c r="I55" s="4"/>
      <c r="J55" s="75"/>
    </row>
    <row r="56" spans="1:10" ht="5.0999999999999996" customHeight="1" x14ac:dyDescent="0.25">
      <c r="B56" s="67"/>
      <c r="C56" s="8"/>
      <c r="D56" s="11"/>
      <c r="E56" s="8"/>
      <c r="F56" s="8"/>
      <c r="G56" s="8"/>
      <c r="H56" s="8"/>
      <c r="I56" s="8"/>
      <c r="J56" s="68"/>
    </row>
    <row r="57" spans="1:10" x14ac:dyDescent="0.25">
      <c r="B57" s="169" t="s">
        <v>69</v>
      </c>
      <c r="C57" s="148"/>
      <c r="D57" s="164"/>
      <c r="E57" s="8"/>
      <c r="F57" s="147" t="s">
        <v>72</v>
      </c>
      <c r="G57" s="148"/>
      <c r="H57" s="164"/>
      <c r="I57" s="8"/>
      <c r="J57" s="68"/>
    </row>
    <row r="58" spans="1:10" x14ac:dyDescent="0.25">
      <c r="A58" s="26"/>
      <c r="B58" s="71" t="s">
        <v>58</v>
      </c>
      <c r="C58" s="13"/>
      <c r="D58" s="36">
        <f>+D53+D54</f>
        <v>900000</v>
      </c>
      <c r="E58" s="8"/>
      <c r="F58" s="46" t="s">
        <v>8</v>
      </c>
      <c r="G58" s="50" t="s">
        <v>70</v>
      </c>
      <c r="H58" s="48" t="s">
        <v>71</v>
      </c>
      <c r="I58" s="8"/>
      <c r="J58" s="68"/>
    </row>
    <row r="59" spans="1:10" x14ac:dyDescent="0.25">
      <c r="B59" s="67" t="s">
        <v>59</v>
      </c>
      <c r="C59" s="8"/>
      <c r="D59" s="19">
        <f>+SUM(G53:G55)</f>
        <v>30000</v>
      </c>
      <c r="E59" s="8"/>
      <c r="F59" s="49">
        <v>42491</v>
      </c>
      <c r="G59" s="51"/>
      <c r="H59" s="45">
        <f>+H50</f>
        <v>4</v>
      </c>
      <c r="I59" s="8"/>
      <c r="J59" s="68"/>
    </row>
    <row r="60" spans="1:10" x14ac:dyDescent="0.25">
      <c r="B60" s="67" t="s">
        <v>65</v>
      </c>
      <c r="C60" s="8"/>
      <c r="D60" s="19">
        <f>+J53</f>
        <v>379000</v>
      </c>
      <c r="F60" s="54"/>
      <c r="G60" s="55"/>
      <c r="H60" s="56"/>
      <c r="J60" s="76"/>
    </row>
    <row r="61" spans="1:10" x14ac:dyDescent="0.25">
      <c r="B61" s="67" t="s">
        <v>68</v>
      </c>
      <c r="C61" s="8"/>
      <c r="D61" s="19">
        <f>+SUM(D58:D60)</f>
        <v>1309000</v>
      </c>
      <c r="F61" s="29"/>
      <c r="G61" s="52"/>
      <c r="H61" s="41"/>
      <c r="J61" s="76"/>
    </row>
    <row r="62" spans="1:10" ht="15.75" thickBot="1" x14ac:dyDescent="0.3">
      <c r="B62" s="77" t="s">
        <v>67</v>
      </c>
      <c r="C62" s="78"/>
      <c r="D62" s="79">
        <f>+D61/H50</f>
        <v>327250</v>
      </c>
      <c r="E62" s="78"/>
      <c r="F62" s="80"/>
      <c r="G62" s="81"/>
      <c r="H62" s="82"/>
      <c r="I62" s="78"/>
      <c r="J62" s="83"/>
    </row>
    <row r="64" spans="1:10" ht="15.75" thickBot="1" x14ac:dyDescent="0.3"/>
    <row r="65" spans="1:10" ht="18.75" x14ac:dyDescent="0.3">
      <c r="B65" s="170" t="s">
        <v>51</v>
      </c>
      <c r="C65" s="171"/>
      <c r="D65" s="171"/>
      <c r="E65" s="171"/>
      <c r="F65" s="171"/>
      <c r="G65" s="171"/>
      <c r="H65" s="171"/>
      <c r="I65" s="171"/>
      <c r="J65" s="172"/>
    </row>
    <row r="66" spans="1:10" ht="15.75" x14ac:dyDescent="0.25">
      <c r="B66" s="67"/>
      <c r="C66" s="8" t="s">
        <v>62</v>
      </c>
      <c r="D66" s="63">
        <v>52</v>
      </c>
      <c r="E66" s="11"/>
      <c r="F66" s="8" t="s">
        <v>52</v>
      </c>
      <c r="G66" s="8"/>
      <c r="H66" s="61">
        <v>42444</v>
      </c>
      <c r="I66" s="8"/>
      <c r="J66" s="68"/>
    </row>
    <row r="67" spans="1:10" x14ac:dyDescent="0.25">
      <c r="B67" s="67"/>
      <c r="C67" s="8" t="s">
        <v>26</v>
      </c>
      <c r="D67" s="60" t="s">
        <v>17</v>
      </c>
      <c r="E67" s="8"/>
      <c r="F67" s="8" t="s">
        <v>53</v>
      </c>
      <c r="G67" s="8"/>
      <c r="H67" s="62" t="s">
        <v>5</v>
      </c>
      <c r="I67" s="8"/>
      <c r="J67" s="68"/>
    </row>
    <row r="68" spans="1:10" ht="15.75" thickBot="1" x14ac:dyDescent="0.3">
      <c r="B68" s="67"/>
      <c r="C68" s="8" t="s">
        <v>75</v>
      </c>
      <c r="D68" s="60" t="s">
        <v>77</v>
      </c>
      <c r="E68" s="11"/>
      <c r="F68" s="8" t="s">
        <v>66</v>
      </c>
      <c r="G68" s="8"/>
      <c r="H68" s="62" t="s">
        <v>5</v>
      </c>
      <c r="I68" s="8"/>
      <c r="J68" s="68"/>
    </row>
    <row r="69" spans="1:10" ht="15.75" thickBot="1" x14ac:dyDescent="0.3">
      <c r="B69" s="162" t="s">
        <v>58</v>
      </c>
      <c r="C69" s="157"/>
      <c r="D69" s="158"/>
      <c r="E69" s="159" t="s">
        <v>59</v>
      </c>
      <c r="F69" s="160"/>
      <c r="G69" s="161"/>
      <c r="H69" s="162" t="s">
        <v>60</v>
      </c>
      <c r="I69" s="157"/>
      <c r="J69" s="158"/>
    </row>
    <row r="70" spans="1:10" x14ac:dyDescent="0.25">
      <c r="B70" s="69" t="s">
        <v>54</v>
      </c>
      <c r="C70" s="34" t="s">
        <v>12</v>
      </c>
      <c r="D70" s="34" t="s">
        <v>55</v>
      </c>
      <c r="E70" s="34" t="s">
        <v>56</v>
      </c>
      <c r="F70" s="34" t="s">
        <v>57</v>
      </c>
      <c r="G70" s="34" t="s">
        <v>55</v>
      </c>
      <c r="H70" s="34" t="s">
        <v>57</v>
      </c>
      <c r="I70" s="34" t="s">
        <v>24</v>
      </c>
      <c r="J70" s="70" t="s">
        <v>55</v>
      </c>
    </row>
    <row r="71" spans="1:10" x14ac:dyDescent="0.25">
      <c r="B71" s="84">
        <f>+I12</f>
        <v>811</v>
      </c>
      <c r="C71" s="59">
        <f>+I15</f>
        <v>8</v>
      </c>
      <c r="D71" s="35">
        <f>+C71*J15</f>
        <v>480000</v>
      </c>
      <c r="E71" s="37">
        <f>+B20</f>
        <v>721</v>
      </c>
      <c r="F71" s="14">
        <f>+A24</f>
        <v>18</v>
      </c>
      <c r="G71" s="35">
        <f>+D24</f>
        <v>9000</v>
      </c>
      <c r="H71" s="37">
        <f>+A24+A30+G24</f>
        <v>56</v>
      </c>
      <c r="I71" s="35">
        <f>+(SUM($D$35:$D$41))/$J$34</f>
        <v>6316.666666666667</v>
      </c>
      <c r="J71" s="72">
        <f>+H71*I71</f>
        <v>353733.33333333337</v>
      </c>
    </row>
    <row r="72" spans="1:10" x14ac:dyDescent="0.25">
      <c r="B72" s="73"/>
      <c r="C72" s="40"/>
      <c r="D72" s="11"/>
      <c r="E72" s="38">
        <f>+B26</f>
        <v>722</v>
      </c>
      <c r="F72" s="9">
        <f>+A30</f>
        <v>20</v>
      </c>
      <c r="G72" s="11">
        <f>+D30</f>
        <v>10000</v>
      </c>
      <c r="H72" s="17"/>
      <c r="I72" s="8"/>
      <c r="J72" s="68"/>
    </row>
    <row r="73" spans="1:10" x14ac:dyDescent="0.25">
      <c r="B73" s="74"/>
      <c r="C73" s="4"/>
      <c r="D73" s="7"/>
      <c r="E73" s="39">
        <f>+H20</f>
        <v>723</v>
      </c>
      <c r="F73" s="6">
        <f>+G24</f>
        <v>18</v>
      </c>
      <c r="G73" s="7">
        <f>+J24</f>
        <v>9000</v>
      </c>
      <c r="H73" s="20"/>
      <c r="I73" s="4"/>
      <c r="J73" s="75"/>
    </row>
    <row r="74" spans="1:10" x14ac:dyDescent="0.25">
      <c r="B74" s="67"/>
      <c r="C74" s="8"/>
      <c r="D74" s="11"/>
      <c r="E74" s="8"/>
      <c r="F74" s="8"/>
      <c r="G74" s="8"/>
      <c r="H74" s="8"/>
      <c r="I74" s="8"/>
      <c r="J74" s="68"/>
    </row>
    <row r="75" spans="1:10" x14ac:dyDescent="0.25">
      <c r="B75" s="169" t="s">
        <v>69</v>
      </c>
      <c r="C75" s="148"/>
      <c r="D75" s="164"/>
      <c r="E75" s="8"/>
      <c r="F75" s="147" t="s">
        <v>72</v>
      </c>
      <c r="G75" s="148"/>
      <c r="H75" s="164"/>
      <c r="I75" s="8"/>
      <c r="J75" s="68"/>
    </row>
    <row r="76" spans="1:10" x14ac:dyDescent="0.25">
      <c r="A76" s="26"/>
      <c r="B76" s="71" t="s">
        <v>58</v>
      </c>
      <c r="C76" s="13"/>
      <c r="D76" s="36">
        <f>+D71+D72</f>
        <v>480000</v>
      </c>
      <c r="E76" s="8"/>
      <c r="F76" s="46" t="s">
        <v>8</v>
      </c>
      <c r="G76" s="50" t="s">
        <v>70</v>
      </c>
      <c r="H76" s="48" t="s">
        <v>71</v>
      </c>
      <c r="I76" s="8"/>
      <c r="J76" s="68"/>
    </row>
    <row r="77" spans="1:10" x14ac:dyDescent="0.25">
      <c r="B77" s="67" t="s">
        <v>59</v>
      </c>
      <c r="C77" s="8"/>
      <c r="D77" s="19">
        <f>+SUM(G71:G73)</f>
        <v>28000</v>
      </c>
      <c r="E77" s="8"/>
      <c r="F77" s="49">
        <v>42491</v>
      </c>
      <c r="G77" s="51"/>
      <c r="H77" s="45" t="str">
        <f>+H68</f>
        <v>En Proceso</v>
      </c>
      <c r="I77" s="8"/>
      <c r="J77" s="68"/>
    </row>
    <row r="78" spans="1:10" x14ac:dyDescent="0.25">
      <c r="B78" s="67" t="s">
        <v>65</v>
      </c>
      <c r="C78" s="8"/>
      <c r="D78" s="19">
        <f>+J71</f>
        <v>353733.33333333337</v>
      </c>
      <c r="F78" s="54"/>
      <c r="G78" s="55"/>
      <c r="H78" s="56"/>
      <c r="J78" s="76"/>
    </row>
    <row r="79" spans="1:10" x14ac:dyDescent="0.25">
      <c r="B79" s="67" t="s">
        <v>68</v>
      </c>
      <c r="C79" s="8"/>
      <c r="D79" s="19">
        <f>+SUM(D76:D78)</f>
        <v>861733.33333333337</v>
      </c>
      <c r="F79" s="29"/>
      <c r="G79" s="52"/>
      <c r="H79" s="41"/>
      <c r="J79" s="76"/>
    </row>
    <row r="80" spans="1:10" ht="15.75" thickBot="1" x14ac:dyDescent="0.3">
      <c r="B80" s="77" t="s">
        <v>67</v>
      </c>
      <c r="C80" s="78"/>
      <c r="D80" s="79"/>
      <c r="E80" s="78"/>
      <c r="F80" s="80"/>
      <c r="G80" s="81"/>
      <c r="H80" s="82"/>
      <c r="I80" s="78"/>
      <c r="J80" s="83"/>
    </row>
    <row r="85" spans="1:11" x14ac:dyDescent="0.25">
      <c r="A85" s="64" t="s">
        <v>91</v>
      </c>
      <c r="I85" s="168" t="s">
        <v>108</v>
      </c>
      <c r="J85" s="168"/>
    </row>
    <row r="86" spans="1:11" x14ac:dyDescent="0.25">
      <c r="A86" s="167" t="s">
        <v>1</v>
      </c>
      <c r="B86" s="167"/>
      <c r="C86" s="167"/>
      <c r="D86" s="167"/>
      <c r="E86" s="93" t="s">
        <v>152</v>
      </c>
      <c r="F86" s="93" t="s">
        <v>153</v>
      </c>
      <c r="H86" s="94" t="s">
        <v>63</v>
      </c>
      <c r="I86" s="36">
        <v>300000</v>
      </c>
      <c r="J86" s="11">
        <v>300000</v>
      </c>
      <c r="K86" s="95" t="s">
        <v>173</v>
      </c>
    </row>
    <row r="87" spans="1:11" x14ac:dyDescent="0.25">
      <c r="A87" s="12" t="s">
        <v>92</v>
      </c>
      <c r="B87" s="13"/>
      <c r="C87" s="13"/>
      <c r="D87" s="13"/>
      <c r="E87" s="35">
        <f>+K8</f>
        <v>1200000</v>
      </c>
      <c r="F87" s="101"/>
      <c r="H87" s="94" t="s">
        <v>120</v>
      </c>
      <c r="I87" s="19">
        <f>E87</f>
        <v>1200000</v>
      </c>
      <c r="J87" s="11">
        <f>F93</f>
        <v>1080000</v>
      </c>
      <c r="K87" s="95" t="s">
        <v>119</v>
      </c>
    </row>
    <row r="88" spans="1:11" x14ac:dyDescent="0.25">
      <c r="A88" s="17" t="s">
        <v>93</v>
      </c>
      <c r="B88" s="8"/>
      <c r="C88" s="8"/>
      <c r="D88" s="8"/>
      <c r="E88" s="11">
        <f>+K9</f>
        <v>200000</v>
      </c>
      <c r="F88" s="18"/>
      <c r="H88" s="88"/>
      <c r="I88" s="25"/>
      <c r="J88" s="4"/>
      <c r="K88" s="95" t="s">
        <v>17</v>
      </c>
    </row>
    <row r="89" spans="1:11" x14ac:dyDescent="0.25">
      <c r="A89" s="17" t="s">
        <v>110</v>
      </c>
      <c r="B89" s="8"/>
      <c r="C89" s="8"/>
      <c r="D89" s="8"/>
      <c r="E89" s="8"/>
      <c r="F89" s="19">
        <f>+E87+E88</f>
        <v>1400000</v>
      </c>
      <c r="H89" s="88"/>
      <c r="I89" s="19">
        <f>+SUM(I86:I88)-SUM(J86:J88)</f>
        <v>120000</v>
      </c>
      <c r="J89" s="8"/>
    </row>
    <row r="90" spans="1:11" x14ac:dyDescent="0.25">
      <c r="A90" s="29"/>
      <c r="D90" s="94" t="s">
        <v>154</v>
      </c>
      <c r="E90" s="95" t="s">
        <v>155</v>
      </c>
      <c r="F90" s="41"/>
      <c r="H90" s="88"/>
    </row>
    <row r="91" spans="1:11" x14ac:dyDescent="0.25">
      <c r="A91" s="17" t="s">
        <v>104</v>
      </c>
      <c r="B91" s="8"/>
      <c r="C91" s="8"/>
      <c r="D91" s="8"/>
      <c r="E91" s="11">
        <f>+E15+K15</f>
        <v>1080000</v>
      </c>
      <c r="F91" s="19"/>
      <c r="H91" s="88"/>
      <c r="I91" s="168" t="s">
        <v>109</v>
      </c>
      <c r="J91" s="168"/>
    </row>
    <row r="92" spans="1:11" x14ac:dyDescent="0.25">
      <c r="A92" s="100" t="s">
        <v>97</v>
      </c>
      <c r="B92" s="8"/>
      <c r="C92" s="8"/>
      <c r="D92" s="8"/>
      <c r="E92" s="11">
        <f>+E16+K16</f>
        <v>184000</v>
      </c>
      <c r="F92" s="18"/>
      <c r="H92" s="94" t="s">
        <v>120</v>
      </c>
      <c r="I92" s="36">
        <f>E88</f>
        <v>200000</v>
      </c>
      <c r="J92" s="8"/>
    </row>
    <row r="93" spans="1:11" x14ac:dyDescent="0.25">
      <c r="A93" s="17" t="s">
        <v>92</v>
      </c>
      <c r="B93" s="8"/>
      <c r="C93" s="8"/>
      <c r="D93" s="8"/>
      <c r="E93" s="8"/>
      <c r="F93" s="19">
        <f>+E91</f>
        <v>1080000</v>
      </c>
      <c r="H93" s="88"/>
      <c r="I93" s="18"/>
      <c r="J93" s="11">
        <f>F94</f>
        <v>184000</v>
      </c>
      <c r="K93" s="95" t="s">
        <v>119</v>
      </c>
    </row>
    <row r="94" spans="1:11" x14ac:dyDescent="0.25">
      <c r="A94" s="17" t="s">
        <v>93</v>
      </c>
      <c r="B94" s="8"/>
      <c r="C94" s="8"/>
      <c r="D94" s="23" t="s">
        <v>156</v>
      </c>
      <c r="E94" s="8" t="s">
        <v>155</v>
      </c>
      <c r="F94" s="19">
        <f>+E92</f>
        <v>184000</v>
      </c>
      <c r="H94" s="88"/>
      <c r="I94" s="25"/>
      <c r="J94" s="4"/>
      <c r="K94" s="95" t="s">
        <v>17</v>
      </c>
    </row>
    <row r="95" spans="1:11" x14ac:dyDescent="0.25">
      <c r="A95" s="29"/>
      <c r="F95" s="41"/>
      <c r="H95" s="88"/>
      <c r="I95" s="19">
        <f>I92-J93</f>
        <v>16000</v>
      </c>
      <c r="J95" s="8"/>
    </row>
    <row r="96" spans="1:11" x14ac:dyDescent="0.25">
      <c r="A96" s="17" t="s">
        <v>105</v>
      </c>
      <c r="B96" s="8"/>
      <c r="C96" s="8"/>
      <c r="D96" s="8"/>
      <c r="E96" s="11">
        <f>D23+D24+D29+D30+J23+J24</f>
        <v>58000</v>
      </c>
      <c r="F96" s="18"/>
      <c r="H96" s="88"/>
    </row>
    <row r="97" spans="1:11" x14ac:dyDescent="0.25">
      <c r="A97" s="100" t="s">
        <v>98</v>
      </c>
      <c r="B97" s="8"/>
      <c r="C97" s="8"/>
      <c r="D97" s="8"/>
      <c r="E97" s="11">
        <f>J30+J31</f>
        <v>48000</v>
      </c>
      <c r="F97" s="18"/>
      <c r="H97" s="88"/>
      <c r="I97" s="168" t="s">
        <v>111</v>
      </c>
      <c r="J97" s="168"/>
    </row>
    <row r="98" spans="1:11" x14ac:dyDescent="0.25">
      <c r="A98" s="17" t="s">
        <v>96</v>
      </c>
      <c r="B98" s="8"/>
      <c r="C98" s="8"/>
      <c r="D98" s="8"/>
      <c r="E98" s="8"/>
      <c r="F98" s="19">
        <f>E96+E97</f>
        <v>106000</v>
      </c>
      <c r="H98" s="94" t="s">
        <v>184</v>
      </c>
      <c r="I98" s="36">
        <f>E8</f>
        <v>300000</v>
      </c>
      <c r="J98" s="8"/>
    </row>
    <row r="99" spans="1:11" x14ac:dyDescent="0.25">
      <c r="A99" s="29"/>
      <c r="D99" s="94" t="s">
        <v>157</v>
      </c>
      <c r="E99" s="95" t="s">
        <v>155</v>
      </c>
      <c r="F99" s="41"/>
      <c r="H99" s="94" t="s">
        <v>112</v>
      </c>
      <c r="I99" s="19">
        <f>E91</f>
        <v>1080000</v>
      </c>
      <c r="J99" s="11"/>
    </row>
    <row r="100" spans="1:11" x14ac:dyDescent="0.25">
      <c r="A100" s="100" t="s">
        <v>95</v>
      </c>
      <c r="B100" s="8"/>
      <c r="C100" s="8"/>
      <c r="D100" s="23"/>
      <c r="E100" s="11">
        <f>SUM(E37:E41)</f>
        <v>518000</v>
      </c>
      <c r="F100" s="18"/>
      <c r="H100" s="94" t="s">
        <v>113</v>
      </c>
      <c r="I100" s="19">
        <f>E96</f>
        <v>58000</v>
      </c>
      <c r="J100" s="100">
        <f>F111</f>
        <v>1309000</v>
      </c>
      <c r="K100" s="95" t="s">
        <v>136</v>
      </c>
    </row>
    <row r="101" spans="1:11" x14ac:dyDescent="0.25">
      <c r="A101" s="17" t="s">
        <v>99</v>
      </c>
      <c r="B101" s="8"/>
      <c r="C101" s="8"/>
      <c r="D101" s="8"/>
      <c r="E101" s="8"/>
      <c r="F101" s="19">
        <f>E37</f>
        <v>182000</v>
      </c>
      <c r="H101" s="94" t="s">
        <v>114</v>
      </c>
      <c r="I101" s="11">
        <f>E107</f>
        <v>732733.33333333337</v>
      </c>
      <c r="J101" s="17"/>
      <c r="K101" s="95" t="s">
        <v>135</v>
      </c>
    </row>
    <row r="102" spans="1:11" x14ac:dyDescent="0.25">
      <c r="A102" s="17" t="s">
        <v>100</v>
      </c>
      <c r="B102" s="8"/>
      <c r="C102" s="8"/>
      <c r="D102" s="8"/>
      <c r="E102" s="8"/>
      <c r="F102" s="19">
        <f>E38</f>
        <v>138000</v>
      </c>
      <c r="H102" s="94" t="s">
        <v>137</v>
      </c>
      <c r="I102" s="102">
        <f>SUM(I98:I101)-SUM(J98:J101)</f>
        <v>861733.33333333349</v>
      </c>
      <c r="J102" s="103"/>
    </row>
    <row r="103" spans="1:11" x14ac:dyDescent="0.25">
      <c r="A103" s="17" t="s">
        <v>101</v>
      </c>
      <c r="B103" s="8"/>
      <c r="C103" s="8"/>
      <c r="D103" s="8"/>
      <c r="E103" s="8"/>
      <c r="F103" s="19">
        <f>E39</f>
        <v>102000</v>
      </c>
      <c r="H103" s="94" t="s">
        <v>169</v>
      </c>
      <c r="I103" s="31">
        <v>6854.4864510713078</v>
      </c>
      <c r="J103" s="2"/>
    </row>
    <row r="104" spans="1:11" x14ac:dyDescent="0.25">
      <c r="A104" s="17" t="s">
        <v>102</v>
      </c>
      <c r="B104" s="8"/>
      <c r="C104" s="8"/>
      <c r="D104" s="8"/>
      <c r="E104" s="8"/>
      <c r="F104" s="19">
        <f>E40</f>
        <v>68000</v>
      </c>
      <c r="I104" s="11">
        <f>+I102+I103</f>
        <v>868587.81978440483</v>
      </c>
      <c r="J104" s="54"/>
    </row>
    <row r="105" spans="1:11" x14ac:dyDescent="0.25">
      <c r="A105" s="17" t="s">
        <v>103</v>
      </c>
      <c r="B105" s="8"/>
      <c r="C105" s="8"/>
      <c r="D105" s="8"/>
      <c r="E105" s="8"/>
      <c r="F105" s="19">
        <f>E41</f>
        <v>28000</v>
      </c>
      <c r="I105" s="168" t="s">
        <v>115</v>
      </c>
      <c r="J105" s="168"/>
    </row>
    <row r="106" spans="1:11" x14ac:dyDescent="0.25">
      <c r="A106" s="29"/>
      <c r="D106" s="94" t="s">
        <v>158</v>
      </c>
      <c r="E106" s="95" t="s">
        <v>155</v>
      </c>
      <c r="F106" s="41"/>
      <c r="H106" s="94" t="s">
        <v>116</v>
      </c>
      <c r="I106" s="36">
        <f>E92</f>
        <v>184000</v>
      </c>
      <c r="J106" s="8"/>
    </row>
    <row r="107" spans="1:11" x14ac:dyDescent="0.25">
      <c r="A107" s="17" t="s">
        <v>106</v>
      </c>
      <c r="B107" s="8"/>
      <c r="C107" s="8"/>
      <c r="D107" s="8"/>
      <c r="E107" s="11">
        <f>J53+J71</f>
        <v>732733.33333333337</v>
      </c>
      <c r="F107" s="18"/>
      <c r="H107" s="94" t="s">
        <v>117</v>
      </c>
      <c r="I107" s="19">
        <f>E97</f>
        <v>48000</v>
      </c>
      <c r="J107" s="11"/>
    </row>
    <row r="108" spans="1:11" x14ac:dyDescent="0.25">
      <c r="A108" s="17" t="s">
        <v>107</v>
      </c>
      <c r="B108" s="8"/>
      <c r="C108" s="8"/>
      <c r="D108" s="8"/>
      <c r="E108" s="8"/>
      <c r="F108" s="19">
        <f>E107</f>
        <v>732733.33333333337</v>
      </c>
      <c r="H108" s="94" t="s">
        <v>118</v>
      </c>
      <c r="I108" s="11">
        <f>E100</f>
        <v>518000</v>
      </c>
      <c r="J108" s="17"/>
    </row>
    <row r="109" spans="1:11" x14ac:dyDescent="0.25">
      <c r="A109" s="29"/>
      <c r="D109" s="94" t="s">
        <v>159</v>
      </c>
      <c r="E109" s="95" t="s">
        <v>155</v>
      </c>
      <c r="F109" s="41"/>
      <c r="H109" s="88"/>
      <c r="I109" s="8"/>
      <c r="J109" s="100">
        <f>F121</f>
        <v>750000</v>
      </c>
      <c r="K109" s="95" t="s">
        <v>130</v>
      </c>
    </row>
    <row r="110" spans="1:11" x14ac:dyDescent="0.25">
      <c r="A110" s="17" t="s">
        <v>133</v>
      </c>
      <c r="B110" s="8"/>
      <c r="C110" s="8"/>
      <c r="D110" s="8"/>
      <c r="E110" s="11">
        <f>D61</f>
        <v>1309000</v>
      </c>
      <c r="F110" s="18"/>
      <c r="I110" s="8"/>
      <c r="J110" s="17"/>
      <c r="K110" s="95" t="s">
        <v>131</v>
      </c>
    </row>
    <row r="111" spans="1:11" x14ac:dyDescent="0.25">
      <c r="A111" s="17" t="s">
        <v>134</v>
      </c>
      <c r="B111" s="8"/>
      <c r="C111" s="8"/>
      <c r="D111" s="8"/>
      <c r="E111" s="8"/>
      <c r="F111" s="19">
        <f>E110</f>
        <v>1309000</v>
      </c>
      <c r="I111" s="8"/>
      <c r="J111" s="20"/>
      <c r="K111" s="95" t="s">
        <v>132</v>
      </c>
    </row>
    <row r="112" spans="1:11" x14ac:dyDescent="0.25">
      <c r="A112" s="29"/>
      <c r="D112" s="94" t="s">
        <v>160</v>
      </c>
      <c r="E112" s="95" t="s">
        <v>155</v>
      </c>
      <c r="F112" s="41"/>
      <c r="I112" s="36">
        <f>SUM(I106:I111)-SUM(J106:J111)</f>
        <v>0</v>
      </c>
      <c r="J112" s="13"/>
    </row>
    <row r="113" spans="1:11" x14ac:dyDescent="0.25">
      <c r="A113" s="17" t="s">
        <v>141</v>
      </c>
      <c r="B113" s="8"/>
      <c r="C113" s="8"/>
      <c r="D113" s="8"/>
      <c r="E113" s="11">
        <f>(D62*3)*1.4</f>
        <v>1374450</v>
      </c>
      <c r="F113" s="18"/>
    </row>
    <row r="114" spans="1:11" x14ac:dyDescent="0.25">
      <c r="A114" s="17" t="s">
        <v>142</v>
      </c>
      <c r="B114" s="8"/>
      <c r="C114" s="8"/>
      <c r="D114" s="8"/>
      <c r="E114" s="8"/>
      <c r="F114" s="19">
        <f>E113</f>
        <v>1374450</v>
      </c>
      <c r="I114" s="168" t="s">
        <v>121</v>
      </c>
      <c r="J114" s="168"/>
    </row>
    <row r="115" spans="1:11" x14ac:dyDescent="0.25">
      <c r="A115" s="29"/>
      <c r="D115" s="94" t="s">
        <v>161</v>
      </c>
      <c r="E115" s="95" t="s">
        <v>155</v>
      </c>
      <c r="F115" s="41"/>
      <c r="H115" s="94" t="s">
        <v>130</v>
      </c>
      <c r="I115" s="36">
        <f>E119</f>
        <v>732733.33333333337</v>
      </c>
      <c r="J115" s="11">
        <f>F108</f>
        <v>732733.33333333337</v>
      </c>
      <c r="K115" s="95" t="s">
        <v>123</v>
      </c>
    </row>
    <row r="116" spans="1:11" x14ac:dyDescent="0.25">
      <c r="A116" s="17" t="s">
        <v>143</v>
      </c>
      <c r="B116" s="8"/>
      <c r="C116" s="8"/>
      <c r="D116" s="8"/>
      <c r="E116" s="11">
        <f>D62*3</f>
        <v>981750</v>
      </c>
      <c r="F116" s="18"/>
      <c r="H116" s="94" t="s">
        <v>131</v>
      </c>
      <c r="I116" s="19"/>
      <c r="J116" s="11"/>
      <c r="K116" s="95" t="s">
        <v>124</v>
      </c>
    </row>
    <row r="117" spans="1:11" x14ac:dyDescent="0.25">
      <c r="A117" s="17" t="s">
        <v>133</v>
      </c>
      <c r="B117" s="8"/>
      <c r="C117" s="8"/>
      <c r="D117" s="8"/>
      <c r="E117" s="11"/>
      <c r="F117" s="19">
        <f>E116</f>
        <v>981750</v>
      </c>
      <c r="H117" s="94" t="s">
        <v>132</v>
      </c>
      <c r="I117" s="11"/>
      <c r="J117" s="17"/>
    </row>
    <row r="118" spans="1:11" x14ac:dyDescent="0.25">
      <c r="A118" s="29"/>
      <c r="D118" s="94" t="s">
        <v>162</v>
      </c>
      <c r="E118" s="95" t="s">
        <v>155</v>
      </c>
      <c r="F118" s="41"/>
      <c r="I118" s="36"/>
      <c r="J118" s="35">
        <f>J115-I115</f>
        <v>0</v>
      </c>
    </row>
    <row r="119" spans="1:11" x14ac:dyDescent="0.25">
      <c r="A119" s="17" t="s">
        <v>107</v>
      </c>
      <c r="B119" s="8"/>
      <c r="C119" s="8"/>
      <c r="D119" s="8"/>
      <c r="E119" s="11">
        <f>F108</f>
        <v>732733.33333333337</v>
      </c>
      <c r="F119" s="18"/>
    </row>
    <row r="120" spans="1:11" x14ac:dyDescent="0.25">
      <c r="A120" s="17" t="s">
        <v>128</v>
      </c>
      <c r="B120" s="8"/>
      <c r="C120" s="8"/>
      <c r="D120" s="8"/>
      <c r="E120" s="11">
        <f>F121-E119</f>
        <v>17266.666666666628</v>
      </c>
      <c r="F120" s="18"/>
      <c r="I120" s="168" t="s">
        <v>122</v>
      </c>
      <c r="J120" s="168"/>
    </row>
    <row r="121" spans="1:11" x14ac:dyDescent="0.25">
      <c r="A121" s="100" t="s">
        <v>95</v>
      </c>
      <c r="B121" s="8"/>
      <c r="C121" s="8"/>
      <c r="D121" s="8"/>
      <c r="E121" s="8"/>
      <c r="F121" s="19">
        <f>E100+E97+E92</f>
        <v>750000</v>
      </c>
      <c r="H121" s="99" t="s">
        <v>125</v>
      </c>
      <c r="I121" s="36">
        <f>F121-E119</f>
        <v>17266.666666666628</v>
      </c>
      <c r="J121" s="11">
        <f>F121-E119</f>
        <v>17266.666666666628</v>
      </c>
      <c r="K121" s="95" t="s">
        <v>129</v>
      </c>
    </row>
    <row r="122" spans="1:11" x14ac:dyDescent="0.25">
      <c r="A122" s="29"/>
      <c r="D122" s="94" t="s">
        <v>163</v>
      </c>
      <c r="E122" s="95" t="s">
        <v>155</v>
      </c>
      <c r="F122" s="41"/>
      <c r="H122" s="94" t="s">
        <v>126</v>
      </c>
      <c r="I122" s="19"/>
      <c r="J122" s="11"/>
    </row>
    <row r="123" spans="1:11" x14ac:dyDescent="0.25">
      <c r="A123" s="29"/>
      <c r="F123" s="41"/>
      <c r="H123" s="94" t="s">
        <v>127</v>
      </c>
      <c r="I123" s="8"/>
      <c r="J123" s="17"/>
    </row>
    <row r="124" spans="1:11" x14ac:dyDescent="0.25">
      <c r="I124" s="36">
        <f>I121-J121</f>
        <v>0</v>
      </c>
      <c r="J124" s="13"/>
    </row>
    <row r="125" spans="1:11" x14ac:dyDescent="0.25">
      <c r="A125" s="17" t="s">
        <v>134</v>
      </c>
      <c r="B125" s="8"/>
      <c r="C125" s="8"/>
      <c r="D125" s="8"/>
      <c r="E125" s="11">
        <f>I158</f>
        <v>6854.4864510713078</v>
      </c>
      <c r="F125" s="18"/>
      <c r="I125" s="168" t="s">
        <v>138</v>
      </c>
      <c r="J125" s="168"/>
    </row>
    <row r="126" spans="1:11" x14ac:dyDescent="0.25">
      <c r="A126" s="17" t="s">
        <v>133</v>
      </c>
      <c r="B126" s="8"/>
      <c r="C126" s="8"/>
      <c r="D126" s="8"/>
      <c r="E126" s="11">
        <f>I159</f>
        <v>2603.0450538988298</v>
      </c>
      <c r="F126" s="18"/>
      <c r="H126" s="94" t="s">
        <v>136</v>
      </c>
      <c r="I126" s="36">
        <f>E110</f>
        <v>1309000</v>
      </c>
      <c r="J126" s="8"/>
    </row>
    <row r="127" spans="1:11" x14ac:dyDescent="0.25">
      <c r="A127" s="17" t="s">
        <v>143</v>
      </c>
      <c r="B127" s="8"/>
      <c r="C127" s="8"/>
      <c r="D127" s="8"/>
      <c r="E127" s="11">
        <f>I160</f>
        <v>7809.1351616964903</v>
      </c>
      <c r="F127" s="18"/>
      <c r="H127" s="94" t="s">
        <v>135</v>
      </c>
      <c r="I127" s="19"/>
      <c r="J127" s="11">
        <f>E116</f>
        <v>981750</v>
      </c>
      <c r="K127" s="95" t="s">
        <v>139</v>
      </c>
    </row>
    <row r="128" spans="1:11" x14ac:dyDescent="0.25">
      <c r="A128" s="17" t="s">
        <v>128</v>
      </c>
      <c r="B128" s="8"/>
      <c r="C128" s="8"/>
      <c r="D128" s="8"/>
      <c r="E128" s="8"/>
      <c r="F128" s="19">
        <f>E120</f>
        <v>17266.666666666628</v>
      </c>
      <c r="I128" s="19"/>
      <c r="J128" s="100"/>
    </row>
    <row r="129" spans="1:10" x14ac:dyDescent="0.25">
      <c r="A129" s="42"/>
      <c r="B129" s="30"/>
      <c r="C129" s="30"/>
      <c r="D129" s="96" t="s">
        <v>164</v>
      </c>
      <c r="E129" s="97" t="s">
        <v>155</v>
      </c>
      <c r="F129" s="43"/>
      <c r="I129" s="36">
        <f>SUM(I126:I128)-SUM(J126:J128)</f>
        <v>327250</v>
      </c>
      <c r="J129" s="13"/>
    </row>
    <row r="130" spans="1:10" x14ac:dyDescent="0.25">
      <c r="H130" s="94" t="s">
        <v>169</v>
      </c>
      <c r="I130" s="102">
        <f>+I159</f>
        <v>2603.0450538988298</v>
      </c>
      <c r="J130" s="2"/>
    </row>
    <row r="131" spans="1:10" x14ac:dyDescent="0.25">
      <c r="H131" s="94"/>
      <c r="I131" s="11">
        <f>+I129+I130</f>
        <v>329853.04505389882</v>
      </c>
      <c r="J131" s="54"/>
    </row>
    <row r="132" spans="1:10" x14ac:dyDescent="0.25">
      <c r="B132" s="168" t="s">
        <v>147</v>
      </c>
      <c r="C132" s="168"/>
      <c r="D132" s="8"/>
      <c r="E132" s="168" t="s">
        <v>148</v>
      </c>
      <c r="F132" s="168"/>
      <c r="G132" s="8"/>
      <c r="H132" s="168" t="s">
        <v>143</v>
      </c>
      <c r="I132" s="168"/>
    </row>
    <row r="133" spans="1:10" x14ac:dyDescent="0.25">
      <c r="B133" s="86"/>
      <c r="C133" s="11">
        <f>F89</f>
        <v>1400000</v>
      </c>
      <c r="E133" s="86"/>
      <c r="F133" s="11">
        <f>F98</f>
        <v>106000</v>
      </c>
      <c r="G133" s="94" t="s">
        <v>140</v>
      </c>
      <c r="H133" s="36">
        <f>E116</f>
        <v>981750</v>
      </c>
    </row>
    <row r="134" spans="1:10" x14ac:dyDescent="0.25">
      <c r="B134" s="87"/>
      <c r="C134" s="11"/>
      <c r="E134" s="87"/>
      <c r="F134" s="11"/>
      <c r="G134" s="94" t="s">
        <v>168</v>
      </c>
      <c r="H134" s="19"/>
      <c r="I134" s="26"/>
    </row>
    <row r="135" spans="1:10" x14ac:dyDescent="0.25">
      <c r="B135" s="87"/>
      <c r="C135" s="100"/>
      <c r="E135" s="87"/>
      <c r="F135" s="100"/>
      <c r="H135" s="19"/>
      <c r="I135" s="58"/>
      <c r="J135" s="26"/>
    </row>
    <row r="136" spans="1:10" x14ac:dyDescent="0.25">
      <c r="B136" s="26"/>
      <c r="C136" s="17"/>
      <c r="E136" s="26"/>
      <c r="F136" s="17"/>
      <c r="H136" s="36">
        <f>SUM(H133:H135)-SUM(I133:I135)</f>
        <v>981750</v>
      </c>
      <c r="I136" s="2"/>
    </row>
    <row r="137" spans="1:10" x14ac:dyDescent="0.25">
      <c r="B137" s="86"/>
      <c r="C137" s="35">
        <f>C133</f>
        <v>1400000</v>
      </c>
      <c r="E137" s="86"/>
      <c r="F137" s="35">
        <f>F133</f>
        <v>106000</v>
      </c>
      <c r="G137" s="94" t="s">
        <v>167</v>
      </c>
      <c r="H137" s="102">
        <f>+I160</f>
        <v>7809.1351616964903</v>
      </c>
      <c r="I137" s="2"/>
    </row>
    <row r="138" spans="1:10" x14ac:dyDescent="0.25">
      <c r="G138" s="94" t="s">
        <v>166</v>
      </c>
      <c r="H138" s="11">
        <f>+H136+H137</f>
        <v>989559.13516169647</v>
      </c>
      <c r="I138" s="54"/>
    </row>
    <row r="139" spans="1:10" x14ac:dyDescent="0.25">
      <c r="B139" s="168" t="s">
        <v>149</v>
      </c>
      <c r="C139" s="168"/>
      <c r="D139" s="8"/>
      <c r="E139" s="168" t="s">
        <v>150</v>
      </c>
      <c r="F139" s="168"/>
      <c r="G139" s="8"/>
      <c r="H139" s="168" t="s">
        <v>101</v>
      </c>
      <c r="I139" s="168"/>
    </row>
    <row r="140" spans="1:10" x14ac:dyDescent="0.25">
      <c r="B140" s="86"/>
      <c r="C140" s="11">
        <f>F101</f>
        <v>182000</v>
      </c>
      <c r="E140" s="86"/>
      <c r="F140" s="11">
        <f>F102</f>
        <v>138000</v>
      </c>
      <c r="H140" s="86"/>
      <c r="I140" s="11">
        <f>F103</f>
        <v>102000</v>
      </c>
    </row>
    <row r="141" spans="1:10" x14ac:dyDescent="0.25">
      <c r="B141" s="87"/>
      <c r="C141" s="11"/>
      <c r="E141" s="87"/>
      <c r="F141" s="11"/>
      <c r="H141" s="87"/>
      <c r="I141" s="11"/>
    </row>
    <row r="142" spans="1:10" x14ac:dyDescent="0.25">
      <c r="B142" s="26"/>
      <c r="C142" s="17"/>
      <c r="E142" s="26"/>
      <c r="F142" s="17"/>
      <c r="H142" s="26"/>
      <c r="I142" s="17"/>
    </row>
    <row r="143" spans="1:10" x14ac:dyDescent="0.25">
      <c r="B143" s="86"/>
      <c r="C143" s="35">
        <f>C140</f>
        <v>182000</v>
      </c>
      <c r="E143" s="86"/>
      <c r="F143" s="35">
        <f>F140</f>
        <v>138000</v>
      </c>
      <c r="H143" s="86"/>
      <c r="I143" s="35">
        <f>I140</f>
        <v>102000</v>
      </c>
    </row>
    <row r="145" spans="1:9" x14ac:dyDescent="0.25">
      <c r="B145" s="168" t="s">
        <v>102</v>
      </c>
      <c r="C145" s="168"/>
      <c r="D145" s="8"/>
      <c r="E145" s="168" t="s">
        <v>103</v>
      </c>
      <c r="F145" s="168"/>
      <c r="G145" s="8"/>
      <c r="H145" s="168" t="s">
        <v>151</v>
      </c>
      <c r="I145" s="168"/>
    </row>
    <row r="146" spans="1:9" x14ac:dyDescent="0.25">
      <c r="B146" s="86"/>
      <c r="C146" s="11">
        <f>F104</f>
        <v>68000</v>
      </c>
      <c r="E146" s="86"/>
      <c r="F146" s="11">
        <f>F105</f>
        <v>28000</v>
      </c>
      <c r="H146" s="36">
        <f>E113</f>
        <v>1374450</v>
      </c>
      <c r="I146" s="26"/>
    </row>
    <row r="147" spans="1:9" x14ac:dyDescent="0.25">
      <c r="B147" s="87"/>
      <c r="C147" s="11"/>
      <c r="E147" s="87"/>
      <c r="F147" s="11"/>
      <c r="H147" s="19"/>
      <c r="I147" s="26"/>
    </row>
    <row r="148" spans="1:9" x14ac:dyDescent="0.25">
      <c r="B148" s="26"/>
      <c r="C148" s="17"/>
      <c r="E148" s="26"/>
      <c r="F148" s="17"/>
      <c r="H148" s="11"/>
      <c r="I148" s="29"/>
    </row>
    <row r="149" spans="1:9" x14ac:dyDescent="0.25">
      <c r="B149" s="86"/>
      <c r="C149" s="35">
        <f>C146</f>
        <v>68000</v>
      </c>
      <c r="E149" s="86"/>
      <c r="F149" s="35">
        <f>F146</f>
        <v>28000</v>
      </c>
      <c r="H149" s="36">
        <f>H146</f>
        <v>1374450</v>
      </c>
      <c r="I149" s="89"/>
    </row>
    <row r="151" spans="1:9" x14ac:dyDescent="0.25">
      <c r="B151" s="168" t="s">
        <v>142</v>
      </c>
      <c r="C151" s="168"/>
      <c r="E151" s="110"/>
      <c r="F151" s="110"/>
    </row>
    <row r="152" spans="1:9" x14ac:dyDescent="0.25">
      <c r="B152" s="86"/>
      <c r="C152" s="11">
        <f>F114</f>
        <v>1374450</v>
      </c>
      <c r="E152" s="26"/>
      <c r="F152" s="26"/>
    </row>
    <row r="153" spans="1:9" x14ac:dyDescent="0.25">
      <c r="B153" s="87"/>
      <c r="C153" s="11"/>
      <c r="E153" s="26"/>
      <c r="F153" s="26"/>
    </row>
    <row r="154" spans="1:9" x14ac:dyDescent="0.25">
      <c r="B154" s="26"/>
      <c r="C154" s="17"/>
      <c r="E154" s="26"/>
    </row>
    <row r="155" spans="1:9" x14ac:dyDescent="0.25">
      <c r="B155" s="86"/>
      <c r="C155" s="35">
        <f>C152</f>
        <v>1374450</v>
      </c>
      <c r="E155" s="26"/>
      <c r="F155" s="26"/>
    </row>
    <row r="157" spans="1:9" x14ac:dyDescent="0.25">
      <c r="A157" s="64" t="s">
        <v>165</v>
      </c>
      <c r="G157" s="98" t="s">
        <v>166</v>
      </c>
    </row>
    <row r="158" spans="1:9" x14ac:dyDescent="0.25">
      <c r="A158" t="s">
        <v>134</v>
      </c>
      <c r="D158" s="26">
        <f>I102</f>
        <v>861733.33333333349</v>
      </c>
      <c r="E158" s="90">
        <f>D158/$D$161</f>
        <v>0.39697797979177546</v>
      </c>
      <c r="F158" s="85" t="s">
        <v>145</v>
      </c>
      <c r="G158" s="26">
        <f>F128</f>
        <v>17266.666666666628</v>
      </c>
      <c r="H158" s="85" t="s">
        <v>146</v>
      </c>
      <c r="I158" s="26">
        <f>E158*G158</f>
        <v>6854.4864510713078</v>
      </c>
    </row>
    <row r="159" spans="1:9" x14ac:dyDescent="0.25">
      <c r="A159" t="s">
        <v>133</v>
      </c>
      <c r="D159" s="26">
        <v>327250</v>
      </c>
      <c r="E159" s="90">
        <f t="shared" ref="E159:E160" si="0">D159/$D$161</f>
        <v>0.15075550505205612</v>
      </c>
      <c r="F159" s="85" t="s">
        <v>145</v>
      </c>
      <c r="G159" s="26">
        <f>F128</f>
        <v>17266.666666666628</v>
      </c>
      <c r="H159" s="85" t="s">
        <v>146</v>
      </c>
      <c r="I159" s="26">
        <f t="shared" ref="I159:I160" si="1">E159*G159</f>
        <v>2603.0450538988298</v>
      </c>
    </row>
    <row r="160" spans="1:9" x14ac:dyDescent="0.25">
      <c r="A160" t="s">
        <v>143</v>
      </c>
      <c r="D160" s="26">
        <v>981750</v>
      </c>
      <c r="E160" s="90">
        <f t="shared" si="0"/>
        <v>0.45226651515616839</v>
      </c>
      <c r="F160" s="85" t="s">
        <v>145</v>
      </c>
      <c r="G160" s="26">
        <f>F128</f>
        <v>17266.666666666628</v>
      </c>
      <c r="H160" s="85" t="s">
        <v>146</v>
      </c>
      <c r="I160" s="26">
        <f t="shared" si="1"/>
        <v>7809.1351616964903</v>
      </c>
    </row>
    <row r="161" spans="3:9" x14ac:dyDescent="0.25">
      <c r="D161" s="89">
        <f>SUM(D158:D160)</f>
        <v>2170733.3333333335</v>
      </c>
      <c r="E161" s="91">
        <f>SUM(E158:E160)</f>
        <v>1</v>
      </c>
      <c r="I161" s="89">
        <f>SUM(I158:I160)</f>
        <v>17266.666666666628</v>
      </c>
    </row>
    <row r="165" spans="3:9" ht="15.75" x14ac:dyDescent="0.25">
      <c r="C165" s="166" t="s">
        <v>185</v>
      </c>
      <c r="D165" s="166"/>
      <c r="E165" s="166"/>
      <c r="F165" s="166"/>
      <c r="G165" s="166"/>
      <c r="H165" s="166"/>
    </row>
    <row r="166" spans="3:9" ht="15.75" x14ac:dyDescent="0.25">
      <c r="C166" s="166" t="s">
        <v>186</v>
      </c>
      <c r="D166" s="166"/>
      <c r="E166" s="166"/>
      <c r="F166" s="166"/>
      <c r="G166" s="166"/>
      <c r="H166" s="166"/>
    </row>
    <row r="167" spans="3:9" x14ac:dyDescent="0.25">
      <c r="C167" s="165" t="s">
        <v>187</v>
      </c>
      <c r="D167" s="165"/>
      <c r="E167" s="165"/>
      <c r="F167" s="165"/>
      <c r="G167" s="165"/>
      <c r="H167" s="165"/>
    </row>
    <row r="169" spans="3:9" x14ac:dyDescent="0.25">
      <c r="C169" s="104" t="s">
        <v>172</v>
      </c>
      <c r="D169" s="105"/>
      <c r="E169" s="105"/>
      <c r="F169" s="105"/>
      <c r="G169" s="105"/>
      <c r="H169" s="105"/>
    </row>
    <row r="170" spans="3:9" x14ac:dyDescent="0.25">
      <c r="C170" s="105" t="s">
        <v>194</v>
      </c>
      <c r="D170" s="105"/>
      <c r="E170" s="105"/>
      <c r="F170" s="105"/>
      <c r="G170" s="106">
        <f>+E8</f>
        <v>300000</v>
      </c>
      <c r="H170" s="105"/>
    </row>
    <row r="171" spans="3:9" x14ac:dyDescent="0.25">
      <c r="C171" s="105" t="s">
        <v>170</v>
      </c>
      <c r="D171" s="105"/>
      <c r="E171" s="105"/>
      <c r="F171" s="105"/>
      <c r="G171" s="106">
        <f>+K8</f>
        <v>1200000</v>
      </c>
      <c r="H171" s="105"/>
    </row>
    <row r="172" spans="3:9" x14ac:dyDescent="0.25">
      <c r="C172" s="105" t="s">
        <v>171</v>
      </c>
      <c r="D172" s="105"/>
      <c r="E172" s="105"/>
      <c r="F172" s="105"/>
      <c r="G172" s="107">
        <f>SUM(G170:G171)</f>
        <v>1500000</v>
      </c>
      <c r="H172" s="105"/>
    </row>
    <row r="173" spans="3:9" x14ac:dyDescent="0.25">
      <c r="C173" s="105" t="s">
        <v>195</v>
      </c>
      <c r="D173" s="105"/>
      <c r="E173" s="105"/>
      <c r="F173" s="105"/>
      <c r="G173" s="108">
        <f>+I89</f>
        <v>120000</v>
      </c>
      <c r="H173" s="105"/>
    </row>
    <row r="174" spans="3:9" x14ac:dyDescent="0.25">
      <c r="C174" s="105" t="s">
        <v>181</v>
      </c>
      <c r="D174" s="105"/>
      <c r="E174" s="105"/>
      <c r="F174" s="105"/>
      <c r="G174" s="105"/>
      <c r="H174" s="106">
        <f>+G172-G173</f>
        <v>1380000</v>
      </c>
    </row>
    <row r="175" spans="3:9" x14ac:dyDescent="0.25">
      <c r="C175" s="105" t="s">
        <v>174</v>
      </c>
      <c r="D175" s="105"/>
      <c r="E175" s="105"/>
      <c r="F175" s="105"/>
      <c r="G175" s="105"/>
      <c r="H175" s="106">
        <f>+G53+G54+G55+G71+G72+G73</f>
        <v>58000</v>
      </c>
    </row>
    <row r="176" spans="3:9" x14ac:dyDescent="0.25">
      <c r="C176" s="104" t="s">
        <v>175</v>
      </c>
      <c r="D176" s="105"/>
      <c r="E176" s="105"/>
      <c r="F176" s="105"/>
      <c r="G176" s="105"/>
      <c r="H176" s="105"/>
    </row>
    <row r="177" spans="3:8" x14ac:dyDescent="0.25">
      <c r="C177" s="105" t="s">
        <v>176</v>
      </c>
      <c r="D177" s="105"/>
      <c r="E177" s="105"/>
      <c r="F177" s="105"/>
      <c r="G177" s="106">
        <f>+E16+K16</f>
        <v>184000</v>
      </c>
      <c r="H177" s="105"/>
    </row>
    <row r="178" spans="3:8" x14ac:dyDescent="0.25">
      <c r="C178" s="105" t="s">
        <v>46</v>
      </c>
      <c r="D178" s="105"/>
      <c r="E178" s="105"/>
      <c r="F178" s="105"/>
      <c r="G178" s="106">
        <f>+J30+J31</f>
        <v>48000</v>
      </c>
      <c r="H178" s="105"/>
    </row>
    <row r="179" spans="3:8" x14ac:dyDescent="0.25">
      <c r="C179" s="105" t="s">
        <v>99</v>
      </c>
      <c r="D179" s="105"/>
      <c r="E179" s="105"/>
      <c r="F179" s="105"/>
      <c r="G179" s="106">
        <v>182000</v>
      </c>
      <c r="H179" s="105"/>
    </row>
    <row r="180" spans="3:8" x14ac:dyDescent="0.25">
      <c r="C180" s="105" t="s">
        <v>100</v>
      </c>
      <c r="D180" s="105"/>
      <c r="E180" s="105"/>
      <c r="F180" s="105"/>
      <c r="G180" s="106">
        <v>138000</v>
      </c>
      <c r="H180" s="105"/>
    </row>
    <row r="181" spans="3:8" x14ac:dyDescent="0.25">
      <c r="C181" s="105" t="s">
        <v>101</v>
      </c>
      <c r="D181" s="105"/>
      <c r="E181" s="105"/>
      <c r="F181" s="105"/>
      <c r="G181" s="106">
        <v>102000</v>
      </c>
      <c r="H181" s="105"/>
    </row>
    <row r="182" spans="3:8" x14ac:dyDescent="0.25">
      <c r="C182" s="105" t="s">
        <v>102</v>
      </c>
      <c r="D182" s="105"/>
      <c r="E182" s="105"/>
      <c r="F182" s="105"/>
      <c r="G182" s="106">
        <v>68000</v>
      </c>
      <c r="H182" s="105"/>
    </row>
    <row r="183" spans="3:8" x14ac:dyDescent="0.25">
      <c r="C183" s="105" t="s">
        <v>103</v>
      </c>
      <c r="D183" s="105"/>
      <c r="E183" s="105"/>
      <c r="F183" s="105"/>
      <c r="G183" s="106">
        <v>28000</v>
      </c>
      <c r="H183" s="105"/>
    </row>
    <row r="184" spans="3:8" x14ac:dyDescent="0.25">
      <c r="C184" s="105" t="s">
        <v>177</v>
      </c>
      <c r="D184" s="105"/>
      <c r="E184" s="105"/>
      <c r="F184" s="105"/>
      <c r="G184" s="107">
        <f>+SUM(G177:G183)</f>
        <v>750000</v>
      </c>
      <c r="H184" s="105"/>
    </row>
    <row r="185" spans="3:8" x14ac:dyDescent="0.25">
      <c r="C185" s="105" t="s">
        <v>178</v>
      </c>
      <c r="D185" s="105"/>
      <c r="E185" s="105"/>
      <c r="F185" s="105"/>
      <c r="G185" s="106">
        <f>+I121</f>
        <v>17266.666666666628</v>
      </c>
      <c r="H185" s="105"/>
    </row>
    <row r="186" spans="3:8" x14ac:dyDescent="0.25">
      <c r="C186" s="105" t="s">
        <v>179</v>
      </c>
      <c r="D186" s="105"/>
      <c r="E186" s="105"/>
      <c r="F186" s="105"/>
      <c r="G186" s="107"/>
      <c r="H186" s="106">
        <f>+G184-G185</f>
        <v>732733.33333333337</v>
      </c>
    </row>
    <row r="187" spans="3:8" x14ac:dyDescent="0.25">
      <c r="C187" s="105" t="s">
        <v>180</v>
      </c>
      <c r="D187" s="105"/>
      <c r="E187" s="105"/>
      <c r="F187" s="105"/>
      <c r="G187" s="105"/>
      <c r="H187" s="107">
        <f>+SUM(H174:H186)</f>
        <v>2170733.3333333335</v>
      </c>
    </row>
    <row r="188" spans="3:8" x14ac:dyDescent="0.25">
      <c r="C188" s="105" t="s">
        <v>196</v>
      </c>
      <c r="D188" s="105"/>
      <c r="E188" s="105"/>
      <c r="F188" s="105"/>
      <c r="G188" s="105"/>
      <c r="H188" s="106">
        <v>0</v>
      </c>
    </row>
    <row r="189" spans="3:8" x14ac:dyDescent="0.25">
      <c r="C189" s="105" t="s">
        <v>182</v>
      </c>
      <c r="D189" s="105"/>
      <c r="E189" s="105"/>
      <c r="F189" s="105"/>
      <c r="G189" s="105"/>
      <c r="H189" s="107">
        <f>+H187+H188</f>
        <v>2170733.3333333335</v>
      </c>
    </row>
    <row r="190" spans="3:8" x14ac:dyDescent="0.25">
      <c r="C190" s="105" t="s">
        <v>197</v>
      </c>
      <c r="D190" s="105"/>
      <c r="E190" s="105"/>
      <c r="F190" s="105"/>
      <c r="G190" s="105"/>
      <c r="H190" s="106">
        <f>+I102</f>
        <v>861733.33333333349</v>
      </c>
    </row>
    <row r="191" spans="3:8" ht="15.75" thickBot="1" x14ac:dyDescent="0.3">
      <c r="C191" s="105" t="s">
        <v>183</v>
      </c>
      <c r="D191" s="105"/>
      <c r="E191" s="105"/>
      <c r="F191" s="105"/>
      <c r="G191" s="105"/>
      <c r="H191" s="109">
        <f>+H189-H190</f>
        <v>1309000</v>
      </c>
    </row>
    <row r="192" spans="3:8" ht="15.75" thickTop="1" x14ac:dyDescent="0.25"/>
    <row r="193" spans="3:8" ht="15.75" x14ac:dyDescent="0.25">
      <c r="C193" s="166" t="s">
        <v>185</v>
      </c>
      <c r="D193" s="166"/>
      <c r="E193" s="166"/>
      <c r="F193" s="166"/>
      <c r="G193" s="166"/>
      <c r="H193" s="166"/>
    </row>
    <row r="194" spans="3:8" ht="15.75" x14ac:dyDescent="0.25">
      <c r="C194" s="166" t="s">
        <v>193</v>
      </c>
      <c r="D194" s="166"/>
      <c r="E194" s="166"/>
      <c r="F194" s="166"/>
      <c r="G194" s="166"/>
      <c r="H194" s="166"/>
    </row>
    <row r="195" spans="3:8" x14ac:dyDescent="0.25">
      <c r="C195" s="165" t="s">
        <v>187</v>
      </c>
      <c r="D195" s="165"/>
      <c r="E195" s="165"/>
      <c r="F195" s="165"/>
      <c r="G195" s="165"/>
      <c r="H195" s="165"/>
    </row>
    <row r="197" spans="3:8" x14ac:dyDescent="0.25">
      <c r="C197" s="105" t="s">
        <v>199</v>
      </c>
      <c r="D197" s="105"/>
      <c r="E197" s="105"/>
      <c r="F197" s="105"/>
      <c r="G197" s="105"/>
      <c r="H197" s="106">
        <v>0</v>
      </c>
    </row>
    <row r="198" spans="3:8" x14ac:dyDescent="0.25">
      <c r="C198" s="105" t="str">
        <f>+C191</f>
        <v>Costo de los Artículos Fabricados</v>
      </c>
      <c r="D198" s="105"/>
      <c r="E198" s="105"/>
      <c r="F198" s="105"/>
      <c r="G198" s="105"/>
      <c r="H198" s="108">
        <f>+H191</f>
        <v>1309000</v>
      </c>
    </row>
    <row r="199" spans="3:8" x14ac:dyDescent="0.25">
      <c r="C199" s="105" t="s">
        <v>198</v>
      </c>
      <c r="D199" s="105"/>
      <c r="E199" s="105"/>
      <c r="F199" s="105"/>
      <c r="G199" s="105"/>
      <c r="H199" s="106">
        <f>+H197+H198</f>
        <v>1309000</v>
      </c>
    </row>
    <row r="200" spans="3:8" x14ac:dyDescent="0.25">
      <c r="C200" s="105" t="s">
        <v>200</v>
      </c>
      <c r="D200" s="105"/>
      <c r="E200" s="105"/>
      <c r="F200" s="105"/>
      <c r="G200" s="105"/>
      <c r="H200" s="108">
        <f>I129</f>
        <v>327250</v>
      </c>
    </row>
    <row r="201" spans="3:8" x14ac:dyDescent="0.25">
      <c r="C201" s="105" t="s">
        <v>201</v>
      </c>
      <c r="D201" s="105"/>
      <c r="E201" s="105"/>
      <c r="F201" s="105"/>
      <c r="G201" s="105"/>
      <c r="H201" s="106">
        <f>+H199-H200</f>
        <v>981750</v>
      </c>
    </row>
    <row r="202" spans="3:8" x14ac:dyDescent="0.25">
      <c r="C202" s="105" t="s">
        <v>202</v>
      </c>
      <c r="D202" s="105"/>
      <c r="E202" s="105"/>
      <c r="F202" s="105"/>
      <c r="G202" s="105"/>
      <c r="H202" s="106">
        <f>+I160</f>
        <v>7809.1351616964903</v>
      </c>
    </row>
    <row r="203" spans="3:8" ht="15.75" thickBot="1" x14ac:dyDescent="0.3">
      <c r="C203" s="105" t="s">
        <v>203</v>
      </c>
      <c r="D203" s="105"/>
      <c r="E203" s="105"/>
      <c r="F203" s="105"/>
      <c r="G203" s="105"/>
      <c r="H203" s="109">
        <f>+H201+H202</f>
        <v>989559.13516169647</v>
      </c>
    </row>
    <row r="204" spans="3:8" ht="15.75" thickTop="1" x14ac:dyDescent="0.25"/>
  </sheetData>
  <mergeCells count="61">
    <mergeCell ref="B145:C145"/>
    <mergeCell ref="B151:C151"/>
    <mergeCell ref="E145:F145"/>
    <mergeCell ref="H145:I145"/>
    <mergeCell ref="B132:C132"/>
    <mergeCell ref="B139:C139"/>
    <mergeCell ref="E132:F132"/>
    <mergeCell ref="E139:F139"/>
    <mergeCell ref="H139:I139"/>
    <mergeCell ref="H132:I132"/>
    <mergeCell ref="B65:J65"/>
    <mergeCell ref="B69:D69"/>
    <mergeCell ref="E69:G69"/>
    <mergeCell ref="H69:J69"/>
    <mergeCell ref="B75:D75"/>
    <mergeCell ref="F75:H75"/>
    <mergeCell ref="B57:D57"/>
    <mergeCell ref="F57:H57"/>
    <mergeCell ref="A34:C34"/>
    <mergeCell ref="A36:C36"/>
    <mergeCell ref="A37:C37"/>
    <mergeCell ref="A38:C38"/>
    <mergeCell ref="A39:C39"/>
    <mergeCell ref="A40:C40"/>
    <mergeCell ref="A41:C41"/>
    <mergeCell ref="B47:J47"/>
    <mergeCell ref="B51:D51"/>
    <mergeCell ref="E51:G51"/>
    <mergeCell ref="H51:J51"/>
    <mergeCell ref="A14:B14"/>
    <mergeCell ref="G14:H14"/>
    <mergeCell ref="A15:B15"/>
    <mergeCell ref="G15:H15"/>
    <mergeCell ref="A16:B16"/>
    <mergeCell ref="G16:H16"/>
    <mergeCell ref="G31:H31"/>
    <mergeCell ref="A22:B22"/>
    <mergeCell ref="G22:H22"/>
    <mergeCell ref="A23:B23"/>
    <mergeCell ref="G23:H23"/>
    <mergeCell ref="A24:B24"/>
    <mergeCell ref="G24:H24"/>
    <mergeCell ref="A28:B28"/>
    <mergeCell ref="A29:B29"/>
    <mergeCell ref="G29:H29"/>
    <mergeCell ref="A30:B30"/>
    <mergeCell ref="G30:H30"/>
    <mergeCell ref="A86:D86"/>
    <mergeCell ref="I125:J125"/>
    <mergeCell ref="I85:J85"/>
    <mergeCell ref="I91:J91"/>
    <mergeCell ref="I97:J97"/>
    <mergeCell ref="I105:J105"/>
    <mergeCell ref="I114:J114"/>
    <mergeCell ref="I120:J120"/>
    <mergeCell ref="C195:H195"/>
    <mergeCell ref="C165:H165"/>
    <mergeCell ref="C166:H166"/>
    <mergeCell ref="C167:H167"/>
    <mergeCell ref="C193:H193"/>
    <mergeCell ref="C194:H194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scale="99" orientation="landscape" verticalDpi="0" r:id="rId1"/>
  <headerFooter>
    <oddHeader>&amp;R&amp;9CONTAB.COSTOS</oddHeader>
    <oddFooter>&amp;R&amp;"-,Negrita"&amp;9PROF.: Fernando Pérez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1"/>
  <sheetViews>
    <sheetView showGridLines="0" workbookViewId="0"/>
  </sheetViews>
  <sheetFormatPr baseColWidth="10" defaultRowHeight="15" x14ac:dyDescent="0.25"/>
  <cols>
    <col min="1" max="1" width="16.140625" customWidth="1"/>
    <col min="2" max="3" width="11.28515625" customWidth="1"/>
    <col min="4" max="4" width="6.7109375" customWidth="1"/>
    <col min="5" max="5" width="12.28515625" customWidth="1"/>
    <col min="6" max="6" width="2.7109375" customWidth="1"/>
    <col min="7" max="7" width="15.7109375" customWidth="1"/>
    <col min="8" max="8" width="12.7109375" customWidth="1"/>
    <col min="9" max="9" width="13.28515625" customWidth="1"/>
    <col min="10" max="12" width="11.5703125" customWidth="1"/>
  </cols>
  <sheetData>
    <row r="1" spans="1:12" ht="21" x14ac:dyDescent="0.35">
      <c r="A1" s="142" t="s">
        <v>263</v>
      </c>
    </row>
    <row r="2" spans="1:12" ht="18.75" x14ac:dyDescent="0.3">
      <c r="A2" s="141"/>
    </row>
    <row r="3" spans="1:12" x14ac:dyDescent="0.25">
      <c r="A3" s="1" t="s">
        <v>264</v>
      </c>
    </row>
    <row r="4" spans="1:12" x14ac:dyDescent="0.25">
      <c r="A4" s="64" t="s">
        <v>207</v>
      </c>
      <c r="B4" s="8"/>
      <c r="C4" s="8"/>
      <c r="D4" s="8"/>
      <c r="E4" s="64" t="s">
        <v>211</v>
      </c>
      <c r="F4" s="64"/>
      <c r="G4" s="8"/>
      <c r="H4" s="8"/>
      <c r="I4" s="8"/>
    </row>
    <row r="5" spans="1:12" x14ac:dyDescent="0.25">
      <c r="A5" s="47" t="s">
        <v>1</v>
      </c>
      <c r="B5" s="66" t="s">
        <v>2</v>
      </c>
      <c r="C5" s="47" t="s">
        <v>4</v>
      </c>
      <c r="D5" s="8"/>
      <c r="E5" s="47" t="s">
        <v>7</v>
      </c>
      <c r="F5" s="47"/>
      <c r="G5" s="66" t="s">
        <v>1</v>
      </c>
      <c r="H5" s="47" t="s">
        <v>20</v>
      </c>
      <c r="I5" s="47" t="s">
        <v>9</v>
      </c>
    </row>
    <row r="6" spans="1:12" x14ac:dyDescent="0.25">
      <c r="A6" s="8" t="s">
        <v>208</v>
      </c>
      <c r="B6" s="9">
        <v>750</v>
      </c>
      <c r="C6" s="114">
        <v>100000</v>
      </c>
      <c r="D6" s="8"/>
      <c r="E6" s="9" t="s">
        <v>209</v>
      </c>
      <c r="F6" s="9"/>
      <c r="G6" s="8" t="s">
        <v>208</v>
      </c>
      <c r="H6" s="9">
        <v>50</v>
      </c>
      <c r="I6" s="11">
        <f>+H6*90000</f>
        <v>4500000</v>
      </c>
    </row>
    <row r="7" spans="1:12" x14ac:dyDescent="0.25">
      <c r="A7" s="4" t="s">
        <v>208</v>
      </c>
      <c r="B7" s="6">
        <v>751</v>
      </c>
      <c r="C7" s="115">
        <v>80000</v>
      </c>
      <c r="D7" s="8"/>
      <c r="E7" s="9" t="s">
        <v>209</v>
      </c>
      <c r="F7" s="9"/>
      <c r="G7" s="8" t="s">
        <v>212</v>
      </c>
      <c r="H7" s="9">
        <v>30</v>
      </c>
      <c r="I7" s="11">
        <f>+H7*15000</f>
        <v>450000</v>
      </c>
    </row>
    <row r="8" spans="1:12" x14ac:dyDescent="0.25">
      <c r="A8" s="64"/>
      <c r="B8" s="8"/>
      <c r="C8" s="8"/>
      <c r="D8" s="8"/>
      <c r="E8" s="6" t="s">
        <v>209</v>
      </c>
      <c r="F8" s="6"/>
      <c r="G8" s="4" t="s">
        <v>210</v>
      </c>
      <c r="H8" s="6">
        <v>20</v>
      </c>
      <c r="I8" s="7">
        <f>+H8*10000</f>
        <v>200000</v>
      </c>
    </row>
    <row r="9" spans="1:12" x14ac:dyDescent="0.25">
      <c r="A9" s="64" t="s">
        <v>231</v>
      </c>
      <c r="B9" s="8"/>
      <c r="C9" s="8"/>
      <c r="D9" s="8"/>
      <c r="E9" s="6"/>
      <c r="F9" s="9"/>
      <c r="G9" s="64" t="s">
        <v>34</v>
      </c>
      <c r="H9" s="9"/>
      <c r="I9" s="11"/>
    </row>
    <row r="10" spans="1:12" x14ac:dyDescent="0.25">
      <c r="A10" s="47" t="s">
        <v>1</v>
      </c>
      <c r="B10" s="47" t="s">
        <v>8</v>
      </c>
      <c r="C10" s="47" t="s">
        <v>2</v>
      </c>
      <c r="D10" s="47" t="s">
        <v>20</v>
      </c>
      <c r="E10" s="47" t="s">
        <v>9</v>
      </c>
      <c r="F10" s="57"/>
      <c r="G10" s="47" t="s">
        <v>1</v>
      </c>
      <c r="H10" s="47" t="s">
        <v>241</v>
      </c>
      <c r="I10" s="47" t="s">
        <v>213</v>
      </c>
    </row>
    <row r="11" spans="1:12" x14ac:dyDescent="0.25">
      <c r="A11" s="8" t="s">
        <v>208</v>
      </c>
      <c r="B11" s="10">
        <v>42646</v>
      </c>
      <c r="C11" s="9">
        <v>750</v>
      </c>
      <c r="D11" s="9">
        <v>28</v>
      </c>
      <c r="E11" s="11">
        <f>+($I$6/$H$6)*D11</f>
        <v>2520000</v>
      </c>
      <c r="F11" s="11"/>
      <c r="G11" s="8" t="s">
        <v>214</v>
      </c>
      <c r="H11" s="114">
        <v>560000</v>
      </c>
      <c r="I11" s="33" t="s">
        <v>228</v>
      </c>
      <c r="J11" s="9"/>
      <c r="K11" s="10"/>
      <c r="L11" s="11"/>
    </row>
    <row r="12" spans="1:12" x14ac:dyDescent="0.25">
      <c r="A12" s="8" t="s">
        <v>208</v>
      </c>
      <c r="B12" s="10">
        <v>42646</v>
      </c>
      <c r="C12" s="9">
        <v>751</v>
      </c>
      <c r="D12" s="9">
        <v>12</v>
      </c>
      <c r="E12" s="11">
        <f>+($I$6/$H$6)*D12</f>
        <v>1080000</v>
      </c>
      <c r="F12" s="11"/>
      <c r="G12" s="8" t="s">
        <v>215</v>
      </c>
      <c r="H12" s="114">
        <v>14000</v>
      </c>
      <c r="I12" s="33" t="s">
        <v>228</v>
      </c>
      <c r="J12" s="9"/>
      <c r="K12" s="10"/>
      <c r="L12" s="11"/>
    </row>
    <row r="13" spans="1:12" x14ac:dyDescent="0.25">
      <c r="A13" s="8" t="s">
        <v>210</v>
      </c>
      <c r="B13" s="10">
        <v>42646</v>
      </c>
      <c r="C13" s="9">
        <v>750</v>
      </c>
      <c r="D13" s="9">
        <v>15</v>
      </c>
      <c r="E13" s="11">
        <f>+($I$7/$H$7)*D13</f>
        <v>225000</v>
      </c>
      <c r="F13" s="11"/>
      <c r="G13" s="8" t="s">
        <v>216</v>
      </c>
      <c r="H13" s="114">
        <v>12000</v>
      </c>
      <c r="I13" s="11">
        <v>11000</v>
      </c>
      <c r="J13" s="9"/>
      <c r="K13" s="10"/>
      <c r="L13" s="11"/>
    </row>
    <row r="14" spans="1:12" x14ac:dyDescent="0.25">
      <c r="A14" s="8" t="s">
        <v>210</v>
      </c>
      <c r="B14" s="10">
        <v>42646</v>
      </c>
      <c r="C14" s="9">
        <v>751</v>
      </c>
      <c r="D14" s="9">
        <v>10</v>
      </c>
      <c r="E14" s="11">
        <f>+($I$7/$H$7)*D14</f>
        <v>150000</v>
      </c>
      <c r="F14" s="11"/>
      <c r="G14" s="8" t="s">
        <v>217</v>
      </c>
      <c r="H14" s="114">
        <v>10000</v>
      </c>
      <c r="I14" s="11">
        <v>9000</v>
      </c>
      <c r="J14" s="9"/>
      <c r="K14" s="10"/>
      <c r="L14" s="11"/>
    </row>
    <row r="15" spans="1:12" x14ac:dyDescent="0.25">
      <c r="A15" s="28" t="s">
        <v>212</v>
      </c>
      <c r="B15" s="10">
        <v>42646</v>
      </c>
      <c r="C15" s="9">
        <v>750</v>
      </c>
      <c r="D15" s="9">
        <v>12</v>
      </c>
      <c r="E15" s="11">
        <f>+($I$8/$H$8)*D15</f>
        <v>120000</v>
      </c>
      <c r="F15" s="11"/>
      <c r="G15" s="8" t="s">
        <v>218</v>
      </c>
      <c r="H15" s="114">
        <v>60000</v>
      </c>
      <c r="I15" s="11">
        <v>62000</v>
      </c>
      <c r="J15" s="9"/>
      <c r="K15" s="10"/>
      <c r="L15" s="11"/>
    </row>
    <row r="16" spans="1:12" x14ac:dyDescent="0.25">
      <c r="A16" s="113" t="s">
        <v>212</v>
      </c>
      <c r="B16" s="5">
        <v>42646</v>
      </c>
      <c r="C16" s="6">
        <v>751</v>
      </c>
      <c r="D16" s="6">
        <v>6</v>
      </c>
      <c r="E16" s="7">
        <f>+($I$8/$H$8)*D16</f>
        <v>60000</v>
      </c>
      <c r="F16" s="11"/>
      <c r="G16" s="8" t="s">
        <v>219</v>
      </c>
      <c r="H16" s="114">
        <v>5000</v>
      </c>
      <c r="I16" s="11">
        <v>4800</v>
      </c>
      <c r="J16" s="9"/>
      <c r="K16" s="10"/>
      <c r="L16" s="11"/>
    </row>
    <row r="17" spans="1:12" x14ac:dyDescent="0.25">
      <c r="A17" s="64" t="s">
        <v>233</v>
      </c>
      <c r="B17" s="60"/>
      <c r="C17" s="57"/>
      <c r="D17" s="57"/>
      <c r="E17" s="57"/>
      <c r="F17" s="57"/>
      <c r="G17" s="8" t="s">
        <v>220</v>
      </c>
      <c r="H17" s="114">
        <v>4000</v>
      </c>
      <c r="I17" s="11">
        <v>3800</v>
      </c>
      <c r="J17" s="9"/>
      <c r="K17" s="10"/>
      <c r="L17" s="11"/>
    </row>
    <row r="18" spans="1:12" x14ac:dyDescent="0.25">
      <c r="A18" s="47" t="s">
        <v>1</v>
      </c>
      <c r="B18" s="47" t="s">
        <v>8</v>
      </c>
      <c r="C18" s="47" t="s">
        <v>2</v>
      </c>
      <c r="D18" s="47" t="s">
        <v>57</v>
      </c>
      <c r="E18" s="47" t="s">
        <v>9</v>
      </c>
      <c r="F18" s="57"/>
      <c r="G18" s="8" t="s">
        <v>221</v>
      </c>
      <c r="H18" s="114">
        <v>2000</v>
      </c>
      <c r="I18" s="11">
        <v>1800</v>
      </c>
      <c r="J18" s="9"/>
      <c r="K18" s="10"/>
      <c r="L18" s="11"/>
    </row>
    <row r="19" spans="1:12" x14ac:dyDescent="0.25">
      <c r="A19" s="28" t="s">
        <v>223</v>
      </c>
      <c r="B19" s="10">
        <v>42650</v>
      </c>
      <c r="C19" s="9">
        <v>750</v>
      </c>
      <c r="D19" s="9">
        <v>40</v>
      </c>
      <c r="E19" s="11">
        <f>300*D19</f>
        <v>12000</v>
      </c>
      <c r="F19" s="11"/>
      <c r="G19" s="4" t="s">
        <v>222</v>
      </c>
      <c r="H19" s="115">
        <v>800</v>
      </c>
      <c r="I19" s="7">
        <v>700</v>
      </c>
      <c r="J19" s="9"/>
      <c r="K19" s="10"/>
      <c r="L19" s="11"/>
    </row>
    <row r="20" spans="1:12" x14ac:dyDescent="0.25">
      <c r="A20" s="28" t="s">
        <v>224</v>
      </c>
      <c r="B20" s="10">
        <v>42658</v>
      </c>
      <c r="C20" s="9">
        <v>750</v>
      </c>
      <c r="D20" s="9">
        <v>40</v>
      </c>
      <c r="E20" s="11">
        <f t="shared" ref="E20:E23" si="0">300*D20</f>
        <v>12000</v>
      </c>
      <c r="F20" s="11"/>
      <c r="G20" s="64" t="s">
        <v>142</v>
      </c>
      <c r="H20" s="114"/>
      <c r="I20" s="11"/>
      <c r="J20" s="9"/>
      <c r="K20" s="10"/>
      <c r="L20" s="11"/>
    </row>
    <row r="21" spans="1:12" x14ac:dyDescent="0.25">
      <c r="A21" s="28" t="s">
        <v>225</v>
      </c>
      <c r="B21" s="10">
        <v>42664</v>
      </c>
      <c r="C21" s="9">
        <v>751</v>
      </c>
      <c r="D21" s="9">
        <v>40</v>
      </c>
      <c r="E21" s="11">
        <f t="shared" si="0"/>
        <v>12000</v>
      </c>
      <c r="F21" s="11"/>
      <c r="G21" s="47" t="s">
        <v>1</v>
      </c>
      <c r="H21" s="47" t="s">
        <v>20</v>
      </c>
      <c r="I21" s="47" t="s">
        <v>239</v>
      </c>
      <c r="J21" s="9"/>
      <c r="K21" s="10"/>
      <c r="L21" s="11"/>
    </row>
    <row r="22" spans="1:12" x14ac:dyDescent="0.25">
      <c r="A22" s="28" t="s">
        <v>226</v>
      </c>
      <c r="B22" s="10">
        <v>42673</v>
      </c>
      <c r="C22" s="9">
        <v>751</v>
      </c>
      <c r="D22" s="9">
        <v>38</v>
      </c>
      <c r="E22" s="11">
        <f t="shared" si="0"/>
        <v>11400</v>
      </c>
      <c r="F22" s="11"/>
      <c r="G22" s="8" t="s">
        <v>230</v>
      </c>
      <c r="H22" s="9">
        <v>50</v>
      </c>
      <c r="I22" s="130">
        <v>0.4</v>
      </c>
      <c r="J22" s="9"/>
      <c r="K22" s="10"/>
      <c r="L22" s="11"/>
    </row>
    <row r="23" spans="1:12" x14ac:dyDescent="0.25">
      <c r="A23" s="113" t="s">
        <v>227</v>
      </c>
      <c r="B23" s="5">
        <v>42673</v>
      </c>
      <c r="C23" s="6"/>
      <c r="D23" s="6">
        <v>40</v>
      </c>
      <c r="E23" s="7">
        <f t="shared" si="0"/>
        <v>12000</v>
      </c>
      <c r="F23" s="11"/>
      <c r="G23" s="4" t="s">
        <v>229</v>
      </c>
      <c r="H23" s="6" t="s">
        <v>45</v>
      </c>
      <c r="I23" s="131">
        <v>0.4</v>
      </c>
      <c r="J23" s="9"/>
      <c r="K23" s="10"/>
      <c r="L23" s="11"/>
    </row>
    <row r="24" spans="1:12" x14ac:dyDescent="0.25">
      <c r="A24" s="9"/>
      <c r="B24" s="10"/>
      <c r="C24" s="9"/>
      <c r="D24" s="9"/>
      <c r="E24" s="8"/>
      <c r="F24" s="8"/>
      <c r="H24" s="8"/>
      <c r="I24" s="8"/>
      <c r="J24" s="9"/>
      <c r="K24" s="10"/>
      <c r="L24" s="11"/>
    </row>
    <row r="25" spans="1:12" x14ac:dyDescent="0.25">
      <c r="A25" s="9"/>
      <c r="B25" s="10"/>
      <c r="C25" s="9"/>
      <c r="D25" s="9"/>
      <c r="E25" s="8"/>
      <c r="F25" s="8"/>
      <c r="H25" s="8"/>
      <c r="I25" s="8"/>
      <c r="J25" s="9"/>
      <c r="K25" s="10"/>
      <c r="L25" s="11"/>
    </row>
    <row r="26" spans="1:12" x14ac:dyDescent="0.25">
      <c r="A26" s="9"/>
      <c r="B26" s="10"/>
      <c r="C26" s="9"/>
      <c r="D26" s="9"/>
      <c r="E26" s="8"/>
      <c r="F26" s="8"/>
      <c r="H26" s="8"/>
      <c r="I26" s="8"/>
      <c r="J26" s="9"/>
      <c r="K26" s="10"/>
      <c r="L26" s="11"/>
    </row>
    <row r="27" spans="1:12" x14ac:dyDescent="0.25">
      <c r="A27" s="9"/>
      <c r="B27" s="10"/>
      <c r="C27" s="9"/>
      <c r="D27" s="9"/>
      <c r="E27" s="8"/>
      <c r="F27" s="8"/>
      <c r="H27" s="8"/>
      <c r="I27" s="8"/>
      <c r="J27" s="9"/>
      <c r="K27" s="10"/>
      <c r="L27" s="11"/>
    </row>
    <row r="28" spans="1:12" x14ac:dyDescent="0.25">
      <c r="A28" s="9"/>
      <c r="B28" s="10"/>
      <c r="C28" s="9"/>
      <c r="D28" s="9"/>
      <c r="E28" s="8"/>
      <c r="F28" s="8"/>
      <c r="H28" s="8"/>
      <c r="I28" s="8"/>
      <c r="J28" s="9"/>
      <c r="K28" s="10"/>
      <c r="L28" s="11"/>
    </row>
    <row r="29" spans="1:12" x14ac:dyDescent="0.25">
      <c r="A29" s="9"/>
      <c r="B29" s="10"/>
      <c r="C29" s="9"/>
      <c r="D29" s="9"/>
      <c r="E29" s="8"/>
      <c r="F29" s="8"/>
      <c r="H29" s="8"/>
      <c r="I29" s="8"/>
      <c r="J29" s="9"/>
      <c r="K29" s="10"/>
      <c r="L29" s="11"/>
    </row>
    <row r="30" spans="1:12" x14ac:dyDescent="0.25">
      <c r="A30" s="9"/>
      <c r="B30" s="10"/>
      <c r="C30" s="9"/>
      <c r="D30" s="9"/>
      <c r="E30" s="8"/>
      <c r="F30" s="8"/>
      <c r="H30" s="8"/>
      <c r="I30" s="8"/>
      <c r="J30" s="9"/>
      <c r="K30" s="10"/>
      <c r="L30" s="11"/>
    </row>
    <row r="31" spans="1:12" x14ac:dyDescent="0.25">
      <c r="A31" s="9"/>
      <c r="B31" s="10"/>
      <c r="C31" s="9"/>
      <c r="D31" s="9"/>
      <c r="E31" s="8"/>
      <c r="F31" s="8"/>
      <c r="H31" s="8"/>
      <c r="I31" s="8"/>
      <c r="J31" s="9"/>
      <c r="K31" s="10"/>
      <c r="L31" s="11"/>
    </row>
    <row r="32" spans="1:12" x14ac:dyDescent="0.25">
      <c r="A32" s="9"/>
      <c r="B32" s="10"/>
      <c r="C32" s="9"/>
      <c r="D32" s="9"/>
      <c r="E32" s="8"/>
      <c r="F32" s="8"/>
      <c r="H32" s="8"/>
      <c r="I32" s="8"/>
      <c r="J32" s="9"/>
      <c r="K32" s="10"/>
      <c r="L32" s="11"/>
    </row>
    <row r="33" spans="1:12" x14ac:dyDescent="0.25">
      <c r="A33" s="9"/>
      <c r="B33" s="10"/>
      <c r="C33" s="9"/>
      <c r="D33" s="9"/>
      <c r="E33" s="8"/>
      <c r="F33" s="8"/>
      <c r="H33" s="8"/>
      <c r="I33" s="8"/>
      <c r="J33" s="9"/>
      <c r="K33" s="10"/>
      <c r="L33" s="11"/>
    </row>
    <row r="34" spans="1:12" x14ac:dyDescent="0.25">
      <c r="A34" s="9"/>
      <c r="B34" s="10"/>
      <c r="C34" s="9"/>
      <c r="D34" s="9"/>
      <c r="E34" s="8"/>
      <c r="F34" s="8"/>
      <c r="H34" s="8"/>
      <c r="I34" s="8"/>
      <c r="J34" s="9"/>
      <c r="K34" s="10"/>
      <c r="L34" s="11"/>
    </row>
    <row r="35" spans="1:12" x14ac:dyDescent="0.25">
      <c r="A35" s="9"/>
      <c r="B35" s="10"/>
      <c r="C35" s="9"/>
      <c r="D35" s="9"/>
      <c r="E35" s="8"/>
      <c r="F35" s="8"/>
      <c r="H35" s="8"/>
      <c r="I35" s="8"/>
      <c r="J35" s="9"/>
      <c r="K35" s="10"/>
      <c r="L35" s="11"/>
    </row>
    <row r="36" spans="1:12" x14ac:dyDescent="0.25">
      <c r="A36" s="9"/>
      <c r="B36" s="10"/>
      <c r="C36" s="9"/>
      <c r="D36" s="9"/>
      <c r="E36" s="8"/>
      <c r="F36" s="8"/>
      <c r="H36" s="8"/>
      <c r="I36" s="8"/>
      <c r="J36" s="9"/>
      <c r="K36" s="10"/>
      <c r="L36" s="11"/>
    </row>
    <row r="37" spans="1:12" x14ac:dyDescent="0.25">
      <c r="A37" s="9"/>
      <c r="B37" s="10"/>
      <c r="C37" s="9"/>
      <c r="D37" s="9"/>
      <c r="E37" s="8"/>
      <c r="F37" s="8"/>
      <c r="H37" s="8"/>
      <c r="I37" s="8"/>
      <c r="J37" s="9"/>
      <c r="K37" s="10"/>
      <c r="L37" s="11"/>
    </row>
    <row r="38" spans="1:12" x14ac:dyDescent="0.25">
      <c r="A38" s="9"/>
      <c r="B38" s="10"/>
      <c r="C38" s="9"/>
      <c r="D38" s="9"/>
      <c r="E38" s="8"/>
      <c r="F38" s="8"/>
      <c r="H38" s="8"/>
      <c r="I38" s="8"/>
      <c r="J38" s="9"/>
      <c r="K38" s="10"/>
      <c r="L38" s="11"/>
    </row>
    <row r="39" spans="1:12" x14ac:dyDescent="0.25">
      <c r="A39" s="9"/>
      <c r="B39" s="10"/>
      <c r="C39" s="9"/>
      <c r="D39" s="9"/>
      <c r="E39" s="8"/>
      <c r="F39" s="8"/>
      <c r="H39" s="8"/>
      <c r="I39" s="8"/>
      <c r="J39" s="9"/>
      <c r="K39" s="10"/>
      <c r="L39" s="11"/>
    </row>
    <row r="40" spans="1:12" x14ac:dyDescent="0.25">
      <c r="A40" s="64" t="s">
        <v>91</v>
      </c>
      <c r="I40" s="168" t="s">
        <v>108</v>
      </c>
      <c r="J40" s="168"/>
    </row>
    <row r="41" spans="1:12" x14ac:dyDescent="0.25">
      <c r="A41" s="167" t="s">
        <v>1</v>
      </c>
      <c r="B41" s="167"/>
      <c r="C41" s="167"/>
      <c r="D41" s="167"/>
      <c r="E41" s="93" t="s">
        <v>152</v>
      </c>
      <c r="F41" s="93"/>
      <c r="G41" s="93" t="s">
        <v>153</v>
      </c>
      <c r="H41" s="94" t="s">
        <v>63</v>
      </c>
      <c r="I41" s="36">
        <f>+C6+C7</f>
        <v>180000</v>
      </c>
      <c r="J41" s="11">
        <f>+I41</f>
        <v>180000</v>
      </c>
      <c r="K41" s="95" t="s">
        <v>173</v>
      </c>
    </row>
    <row r="42" spans="1:12" x14ac:dyDescent="0.25">
      <c r="A42" s="12" t="s">
        <v>92</v>
      </c>
      <c r="B42" s="13"/>
      <c r="C42" s="13"/>
      <c r="D42" s="13"/>
      <c r="E42" s="35">
        <f>+I6</f>
        <v>4500000</v>
      </c>
      <c r="F42" s="35"/>
      <c r="G42" s="101"/>
      <c r="H42" s="94" t="s">
        <v>120</v>
      </c>
      <c r="I42" s="19">
        <f>+I6</f>
        <v>4500000</v>
      </c>
      <c r="J42" s="11">
        <f>G48</f>
        <v>3600000</v>
      </c>
      <c r="K42" s="95" t="s">
        <v>119</v>
      </c>
    </row>
    <row r="43" spans="1:12" x14ac:dyDescent="0.25">
      <c r="A43" s="17" t="s">
        <v>93</v>
      </c>
      <c r="B43" s="8"/>
      <c r="C43" s="8"/>
      <c r="D43" s="8"/>
      <c r="E43" s="11">
        <f>+I7+I8</f>
        <v>650000</v>
      </c>
      <c r="F43" s="11"/>
      <c r="G43" s="18"/>
      <c r="H43" s="88"/>
      <c r="I43" s="25"/>
      <c r="J43" s="4"/>
      <c r="K43" s="95" t="s">
        <v>17</v>
      </c>
    </row>
    <row r="44" spans="1:12" x14ac:dyDescent="0.25">
      <c r="A44" s="17" t="s">
        <v>242</v>
      </c>
      <c r="B44" s="8"/>
      <c r="C44" s="8"/>
      <c r="D44" s="8"/>
      <c r="E44" s="8"/>
      <c r="F44" s="8"/>
      <c r="G44" s="19">
        <f>+E42+E43</f>
        <v>5150000</v>
      </c>
      <c r="H44" s="88"/>
      <c r="I44" s="19">
        <f>+SUM(I41:I43)-SUM(J41:J43)</f>
        <v>900000</v>
      </c>
      <c r="J44" s="8"/>
    </row>
    <row r="45" spans="1:12" x14ac:dyDescent="0.25">
      <c r="A45" s="29"/>
      <c r="D45" s="94" t="s">
        <v>154</v>
      </c>
      <c r="E45" s="95" t="s">
        <v>155</v>
      </c>
      <c r="F45" s="95"/>
      <c r="G45" s="41"/>
      <c r="H45" s="88"/>
    </row>
    <row r="46" spans="1:12" x14ac:dyDescent="0.25">
      <c r="A46" s="17" t="s">
        <v>104</v>
      </c>
      <c r="B46" s="8"/>
      <c r="C46" s="8"/>
      <c r="D46" s="8"/>
      <c r="E46" s="11">
        <f>+E11+E12</f>
        <v>3600000</v>
      </c>
      <c r="F46" s="11"/>
      <c r="G46" s="19"/>
      <c r="H46" s="88"/>
      <c r="I46" s="168" t="s">
        <v>109</v>
      </c>
      <c r="J46" s="168"/>
    </row>
    <row r="47" spans="1:12" x14ac:dyDescent="0.25">
      <c r="A47" s="100" t="s">
        <v>97</v>
      </c>
      <c r="B47" s="8"/>
      <c r="C47" s="8"/>
      <c r="D47" s="8"/>
      <c r="E47" s="11">
        <f>+SUM(E13:E16)</f>
        <v>555000</v>
      </c>
      <c r="F47" s="11"/>
      <c r="G47" s="18"/>
      <c r="H47" s="94" t="s">
        <v>120</v>
      </c>
      <c r="I47" s="36">
        <f>+E43</f>
        <v>650000</v>
      </c>
      <c r="J47" s="8"/>
    </row>
    <row r="48" spans="1:12" x14ac:dyDescent="0.25">
      <c r="A48" s="17" t="s">
        <v>92</v>
      </c>
      <c r="B48" s="8"/>
      <c r="C48" s="8"/>
      <c r="D48" s="8"/>
      <c r="E48" s="8"/>
      <c r="F48" s="8"/>
      <c r="G48" s="19">
        <f>+E46</f>
        <v>3600000</v>
      </c>
      <c r="H48" s="88"/>
      <c r="I48" s="18"/>
      <c r="J48" s="11">
        <f>G49</f>
        <v>555000</v>
      </c>
      <c r="K48" s="95" t="s">
        <v>119</v>
      </c>
    </row>
    <row r="49" spans="1:11" x14ac:dyDescent="0.25">
      <c r="A49" s="17" t="s">
        <v>93</v>
      </c>
      <c r="B49" s="8"/>
      <c r="C49" s="8"/>
      <c r="D49" s="23" t="s">
        <v>156</v>
      </c>
      <c r="E49" s="8" t="s">
        <v>155</v>
      </c>
      <c r="F49" s="8"/>
      <c r="G49" s="19">
        <f>+E47</f>
        <v>555000</v>
      </c>
      <c r="H49" s="88"/>
      <c r="I49" s="25"/>
      <c r="J49" s="4"/>
      <c r="K49" s="95" t="s">
        <v>17</v>
      </c>
    </row>
    <row r="50" spans="1:11" x14ac:dyDescent="0.25">
      <c r="A50" s="29"/>
      <c r="G50" s="41"/>
      <c r="H50" s="88"/>
      <c r="I50" s="19">
        <f>I47-J48</f>
        <v>95000</v>
      </c>
      <c r="J50" s="8"/>
    </row>
    <row r="51" spans="1:11" x14ac:dyDescent="0.25">
      <c r="A51" s="17" t="s">
        <v>105</v>
      </c>
      <c r="B51" s="8"/>
      <c r="C51" s="8"/>
      <c r="D51" s="8"/>
      <c r="E51" s="11">
        <f>+SUM(E19:E22)</f>
        <v>47400</v>
      </c>
      <c r="F51" s="11"/>
      <c r="G51" s="18"/>
      <c r="H51" s="88"/>
    </row>
    <row r="52" spans="1:11" x14ac:dyDescent="0.25">
      <c r="A52" s="100" t="s">
        <v>98</v>
      </c>
      <c r="B52" s="8"/>
      <c r="C52" s="8"/>
      <c r="D52" s="8"/>
      <c r="E52" s="11">
        <f>+E23</f>
        <v>12000</v>
      </c>
      <c r="F52" s="11"/>
      <c r="G52" s="18"/>
      <c r="H52" s="88"/>
      <c r="I52" s="168" t="s">
        <v>111</v>
      </c>
      <c r="J52" s="168"/>
    </row>
    <row r="53" spans="1:11" x14ac:dyDescent="0.25">
      <c r="A53" s="17" t="s">
        <v>96</v>
      </c>
      <c r="B53" s="8"/>
      <c r="C53" s="8"/>
      <c r="D53" s="8"/>
      <c r="E53" s="8"/>
      <c r="F53" s="8"/>
      <c r="G53" s="19">
        <f>E51+E52</f>
        <v>59400</v>
      </c>
      <c r="H53" s="94" t="s">
        <v>184</v>
      </c>
      <c r="I53" s="36">
        <f>+C6+C7</f>
        <v>180000</v>
      </c>
      <c r="J53" s="8"/>
    </row>
    <row r="54" spans="1:11" x14ac:dyDescent="0.25">
      <c r="A54" s="29"/>
      <c r="D54" s="94" t="s">
        <v>157</v>
      </c>
      <c r="E54" s="95" t="s">
        <v>155</v>
      </c>
      <c r="F54" s="95"/>
      <c r="G54" s="41"/>
      <c r="H54" s="94" t="s">
        <v>112</v>
      </c>
      <c r="I54" s="19">
        <f>E46</f>
        <v>3600000</v>
      </c>
      <c r="J54" s="11"/>
    </row>
    <row r="55" spans="1:11" x14ac:dyDescent="0.25">
      <c r="A55" s="100" t="s">
        <v>95</v>
      </c>
      <c r="B55" s="8"/>
      <c r="C55" s="8"/>
      <c r="D55" s="23"/>
      <c r="E55" s="11">
        <f>+SUM(I13:I19)</f>
        <v>93100</v>
      </c>
      <c r="F55" s="11"/>
      <c r="G55" s="18"/>
      <c r="H55" s="94" t="s">
        <v>113</v>
      </c>
      <c r="I55" s="19">
        <f>E51</f>
        <v>47400</v>
      </c>
      <c r="J55" s="100">
        <f>G68</f>
        <v>2977900</v>
      </c>
      <c r="K55" s="95" t="s">
        <v>246</v>
      </c>
    </row>
    <row r="56" spans="1:11" x14ac:dyDescent="0.25">
      <c r="A56" s="17" t="s">
        <v>99</v>
      </c>
      <c r="B56" s="8"/>
      <c r="C56" s="8"/>
      <c r="D56" s="8"/>
      <c r="E56" s="8"/>
      <c r="F56" s="8"/>
      <c r="G56" s="19">
        <f t="shared" ref="G56:G62" si="1">+I13</f>
        <v>11000</v>
      </c>
      <c r="H56" s="94" t="s">
        <v>114</v>
      </c>
      <c r="I56" s="11">
        <f>E64</f>
        <v>659452.5</v>
      </c>
      <c r="J56" s="17"/>
      <c r="K56" s="95" t="s">
        <v>135</v>
      </c>
    </row>
    <row r="57" spans="1:11" x14ac:dyDescent="0.25">
      <c r="A57" s="17" t="s">
        <v>100</v>
      </c>
      <c r="B57" s="8"/>
      <c r="C57" s="8"/>
      <c r="D57" s="8"/>
      <c r="E57" s="8"/>
      <c r="F57" s="8"/>
      <c r="G57" s="19">
        <f t="shared" si="1"/>
        <v>9000</v>
      </c>
      <c r="H57" s="94" t="s">
        <v>245</v>
      </c>
      <c r="I57" s="102">
        <f>SUM(I53:I56)-SUM(J53:J56)</f>
        <v>1508952.5</v>
      </c>
      <c r="J57" s="103"/>
    </row>
    <row r="58" spans="1:11" x14ac:dyDescent="0.25">
      <c r="A58" s="17" t="s">
        <v>101</v>
      </c>
      <c r="G58" s="19">
        <f t="shared" si="1"/>
        <v>62000</v>
      </c>
      <c r="H58" s="94"/>
      <c r="I58" s="31"/>
      <c r="J58" s="2"/>
    </row>
    <row r="59" spans="1:11" x14ac:dyDescent="0.25">
      <c r="A59" s="17" t="s">
        <v>244</v>
      </c>
      <c r="B59" s="8"/>
      <c r="C59" s="8"/>
      <c r="D59" s="8"/>
      <c r="E59" s="8"/>
      <c r="F59" s="8"/>
      <c r="G59" s="19">
        <f t="shared" si="1"/>
        <v>4800</v>
      </c>
      <c r="I59" s="11">
        <f>+I57+I58</f>
        <v>1508952.5</v>
      </c>
      <c r="J59" s="54"/>
    </row>
    <row r="60" spans="1:11" x14ac:dyDescent="0.25">
      <c r="A60" s="17" t="s">
        <v>102</v>
      </c>
      <c r="B60" s="8"/>
      <c r="C60" s="8"/>
      <c r="D60" s="8"/>
      <c r="E60" s="8"/>
      <c r="F60" s="8"/>
      <c r="G60" s="19">
        <f t="shared" si="1"/>
        <v>3800</v>
      </c>
      <c r="I60" s="168" t="s">
        <v>115</v>
      </c>
      <c r="J60" s="168"/>
    </row>
    <row r="61" spans="1:11" x14ac:dyDescent="0.25">
      <c r="A61" s="17" t="s">
        <v>103</v>
      </c>
      <c r="B61" s="8"/>
      <c r="C61" s="8"/>
      <c r="D61" s="8"/>
      <c r="E61" s="8"/>
      <c r="F61" s="8"/>
      <c r="G61" s="19">
        <f t="shared" si="1"/>
        <v>1800</v>
      </c>
      <c r="H61" s="94" t="s">
        <v>116</v>
      </c>
      <c r="I61" s="36">
        <f>E47</f>
        <v>555000</v>
      </c>
      <c r="J61" s="8"/>
    </row>
    <row r="62" spans="1:11" x14ac:dyDescent="0.25">
      <c r="A62" s="17" t="s">
        <v>243</v>
      </c>
      <c r="G62" s="19">
        <f t="shared" si="1"/>
        <v>700</v>
      </c>
      <c r="H62" s="94" t="s">
        <v>117</v>
      </c>
      <c r="I62" s="19">
        <f>E52</f>
        <v>12000</v>
      </c>
      <c r="J62" s="11"/>
    </row>
    <row r="63" spans="1:11" x14ac:dyDescent="0.25">
      <c r="A63" s="29"/>
      <c r="D63" s="94" t="s">
        <v>158</v>
      </c>
      <c r="E63" s="95" t="s">
        <v>155</v>
      </c>
      <c r="F63" s="95"/>
      <c r="G63" s="41"/>
      <c r="H63" s="94" t="s">
        <v>118</v>
      </c>
      <c r="I63" s="11">
        <f>E55</f>
        <v>93100</v>
      </c>
      <c r="J63" s="17"/>
    </row>
    <row r="64" spans="1:11" x14ac:dyDescent="0.25">
      <c r="A64" s="17" t="s">
        <v>106</v>
      </c>
      <c r="B64" s="8"/>
      <c r="C64" s="8"/>
      <c r="D64" s="8"/>
      <c r="E64" s="11">
        <f>(SUM(H11:H19)/160)*SUM(D19:D22)</f>
        <v>659452.5</v>
      </c>
      <c r="F64" s="11"/>
      <c r="G64" s="18"/>
      <c r="H64" s="88"/>
      <c r="I64" s="8"/>
      <c r="J64" s="100">
        <f>G78</f>
        <v>660100</v>
      </c>
      <c r="K64" s="95" t="s">
        <v>130</v>
      </c>
    </row>
    <row r="65" spans="1:11" x14ac:dyDescent="0.25">
      <c r="A65" s="17" t="s">
        <v>107</v>
      </c>
      <c r="B65" s="8"/>
      <c r="C65" s="8"/>
      <c r="D65" s="8"/>
      <c r="E65" s="8"/>
      <c r="F65" s="8"/>
      <c r="G65" s="19">
        <f>E64</f>
        <v>659452.5</v>
      </c>
      <c r="I65" s="8"/>
      <c r="J65" s="17"/>
      <c r="K65" s="95" t="s">
        <v>131</v>
      </c>
    </row>
    <row r="66" spans="1:11" x14ac:dyDescent="0.25">
      <c r="A66" s="29"/>
      <c r="D66" s="94" t="s">
        <v>159</v>
      </c>
      <c r="E66" s="95" t="s">
        <v>155</v>
      </c>
      <c r="F66" s="95"/>
      <c r="G66" s="41"/>
      <c r="I66" s="8"/>
      <c r="J66" s="20"/>
      <c r="K66" s="95" t="s">
        <v>132</v>
      </c>
    </row>
    <row r="67" spans="1:11" x14ac:dyDescent="0.25">
      <c r="A67" s="17" t="s">
        <v>133</v>
      </c>
      <c r="B67" s="8"/>
      <c r="C67" s="8"/>
      <c r="D67" s="8"/>
      <c r="E67" s="11">
        <f>C6+E11+E19+E20+((SUM(H11:H19)/160)*SUM(D19:D20))</f>
        <v>2977900</v>
      </c>
      <c r="F67" s="11"/>
      <c r="G67" s="18"/>
      <c r="I67" s="36">
        <f>SUM(I61:I66)-SUM(J61:J66)</f>
        <v>0</v>
      </c>
      <c r="J67" s="13"/>
    </row>
    <row r="68" spans="1:11" x14ac:dyDescent="0.25">
      <c r="A68" s="17" t="s">
        <v>134</v>
      </c>
      <c r="B68" s="8"/>
      <c r="C68" s="8"/>
      <c r="D68" s="8"/>
      <c r="E68" s="8"/>
      <c r="F68" s="8"/>
      <c r="G68" s="19">
        <f>E67</f>
        <v>2977900</v>
      </c>
    </row>
    <row r="69" spans="1:11" x14ac:dyDescent="0.25">
      <c r="A69" s="29"/>
      <c r="D69" s="94" t="s">
        <v>160</v>
      </c>
      <c r="E69" s="95" t="s">
        <v>155</v>
      </c>
      <c r="F69" s="95"/>
      <c r="G69" s="41"/>
      <c r="I69" s="168" t="s">
        <v>121</v>
      </c>
      <c r="J69" s="168"/>
    </row>
    <row r="70" spans="1:11" x14ac:dyDescent="0.25">
      <c r="A70" s="17" t="s">
        <v>252</v>
      </c>
      <c r="B70" s="8"/>
      <c r="C70" s="8"/>
      <c r="D70" s="8"/>
      <c r="E70" s="11">
        <f>+((E67/50)*50)*1.4</f>
        <v>4169059.9999999995</v>
      </c>
      <c r="F70" s="11"/>
      <c r="G70" s="18"/>
      <c r="H70" s="94" t="s">
        <v>130</v>
      </c>
      <c r="I70" s="36">
        <f>E76</f>
        <v>659452.5</v>
      </c>
      <c r="J70" s="11">
        <f>G65</f>
        <v>659452.5</v>
      </c>
      <c r="K70" s="95" t="s">
        <v>123</v>
      </c>
    </row>
    <row r="71" spans="1:11" x14ac:dyDescent="0.25">
      <c r="A71" s="17" t="s">
        <v>142</v>
      </c>
      <c r="B71" s="8"/>
      <c r="C71" s="8"/>
      <c r="D71" s="8"/>
      <c r="E71" s="8"/>
      <c r="F71" s="8"/>
      <c r="G71" s="19">
        <f>E70</f>
        <v>4169059.9999999995</v>
      </c>
      <c r="H71" s="94" t="s">
        <v>131</v>
      </c>
      <c r="I71" s="19"/>
      <c r="J71" s="11"/>
      <c r="K71" s="95" t="s">
        <v>124</v>
      </c>
    </row>
    <row r="72" spans="1:11" x14ac:dyDescent="0.25">
      <c r="A72" s="29"/>
      <c r="D72" s="94" t="s">
        <v>161</v>
      </c>
      <c r="E72" s="95" t="s">
        <v>155</v>
      </c>
      <c r="F72" s="95"/>
      <c r="G72" s="41"/>
      <c r="H72" s="94" t="s">
        <v>132</v>
      </c>
      <c r="I72" s="11"/>
      <c r="J72" s="17"/>
    </row>
    <row r="73" spans="1:11" x14ac:dyDescent="0.25">
      <c r="A73" s="17" t="s">
        <v>143</v>
      </c>
      <c r="B73" s="8"/>
      <c r="C73" s="8"/>
      <c r="D73" s="8"/>
      <c r="E73" s="11">
        <f>+E67</f>
        <v>2977900</v>
      </c>
      <c r="F73" s="11"/>
      <c r="G73" s="18"/>
      <c r="I73" s="36"/>
      <c r="J73" s="35">
        <f>J70-I70</f>
        <v>0</v>
      </c>
    </row>
    <row r="74" spans="1:11" x14ac:dyDescent="0.25">
      <c r="A74" s="17" t="s">
        <v>133</v>
      </c>
      <c r="B74" s="8"/>
      <c r="C74" s="8"/>
      <c r="D74" s="8"/>
      <c r="E74" s="11"/>
      <c r="F74" s="11"/>
      <c r="G74" s="19">
        <f>E73</f>
        <v>2977900</v>
      </c>
    </row>
    <row r="75" spans="1:11" x14ac:dyDescent="0.25">
      <c r="A75" s="29"/>
      <c r="D75" s="94" t="s">
        <v>162</v>
      </c>
      <c r="E75" s="95" t="s">
        <v>155</v>
      </c>
      <c r="F75" s="95"/>
      <c r="G75" s="41"/>
      <c r="I75" s="168" t="s">
        <v>122</v>
      </c>
      <c r="J75" s="168"/>
    </row>
    <row r="76" spans="1:11" x14ac:dyDescent="0.25">
      <c r="A76" s="17" t="s">
        <v>107</v>
      </c>
      <c r="B76" s="8"/>
      <c r="C76" s="8"/>
      <c r="D76" s="8"/>
      <c r="E76" s="11">
        <f>G65</f>
        <v>659452.5</v>
      </c>
      <c r="F76" s="11"/>
      <c r="G76" s="18"/>
      <c r="H76" s="99" t="s">
        <v>125</v>
      </c>
      <c r="I76" s="36">
        <f>G78-E76</f>
        <v>647.5</v>
      </c>
      <c r="J76" s="11">
        <f>G78-E76</f>
        <v>647.5</v>
      </c>
      <c r="K76" s="95" t="s">
        <v>129</v>
      </c>
    </row>
    <row r="77" spans="1:11" x14ac:dyDescent="0.25">
      <c r="A77" s="17" t="s">
        <v>128</v>
      </c>
      <c r="B77" s="8"/>
      <c r="C77" s="8"/>
      <c r="D77" s="8"/>
      <c r="E77" s="11">
        <f>G78-E76</f>
        <v>647.5</v>
      </c>
      <c r="F77" s="11"/>
      <c r="G77" s="18"/>
      <c r="H77" s="94" t="s">
        <v>126</v>
      </c>
      <c r="I77" s="19"/>
      <c r="J77" s="11"/>
      <c r="K77" s="8" t="s">
        <v>247</v>
      </c>
    </row>
    <row r="78" spans="1:11" x14ac:dyDescent="0.25">
      <c r="A78" s="100" t="s">
        <v>95</v>
      </c>
      <c r="B78" s="8"/>
      <c r="C78" s="8"/>
      <c r="D78" s="8"/>
      <c r="E78" s="8"/>
      <c r="F78" s="8"/>
      <c r="G78" s="19">
        <f>E55+E52+E47</f>
        <v>660100</v>
      </c>
      <c r="H78" s="94" t="s">
        <v>127</v>
      </c>
      <c r="I78" s="8"/>
      <c r="J78" s="17"/>
      <c r="K78" s="8" t="s">
        <v>142</v>
      </c>
    </row>
    <row r="79" spans="1:11" x14ac:dyDescent="0.25">
      <c r="A79" s="29"/>
      <c r="D79" s="94" t="s">
        <v>163</v>
      </c>
      <c r="E79" s="95" t="s">
        <v>155</v>
      </c>
      <c r="F79" s="95"/>
      <c r="G79" s="41"/>
      <c r="I79" s="36">
        <f>I76-J76</f>
        <v>0</v>
      </c>
      <c r="J79" s="13"/>
    </row>
    <row r="80" spans="1:11" x14ac:dyDescent="0.25">
      <c r="A80" s="17" t="s">
        <v>143</v>
      </c>
      <c r="B80" s="8"/>
      <c r="C80" s="8"/>
      <c r="D80" s="8"/>
      <c r="E80" s="11">
        <f>+E77</f>
        <v>647.5</v>
      </c>
      <c r="F80" s="11"/>
      <c r="G80" s="18"/>
      <c r="I80" s="168" t="s">
        <v>138</v>
      </c>
      <c r="J80" s="168"/>
    </row>
    <row r="81" spans="1:11" x14ac:dyDescent="0.25">
      <c r="A81" s="17" t="s">
        <v>128</v>
      </c>
      <c r="B81" s="8"/>
      <c r="C81" s="8"/>
      <c r="D81" s="8"/>
      <c r="E81" s="8"/>
      <c r="F81" s="8"/>
      <c r="G81" s="19">
        <f>E77</f>
        <v>647.5</v>
      </c>
      <c r="H81" s="94" t="s">
        <v>136</v>
      </c>
      <c r="I81" s="36">
        <f>E67</f>
        <v>2977900</v>
      </c>
      <c r="J81" s="8"/>
    </row>
    <row r="82" spans="1:11" x14ac:dyDescent="0.25">
      <c r="A82" s="42"/>
      <c r="B82" s="30"/>
      <c r="C82" s="30"/>
      <c r="D82" s="96" t="s">
        <v>164</v>
      </c>
      <c r="E82" s="97" t="s">
        <v>155</v>
      </c>
      <c r="F82" s="97"/>
      <c r="G82" s="43"/>
      <c r="H82" s="94" t="s">
        <v>135</v>
      </c>
      <c r="I82" s="19"/>
      <c r="J82" s="11">
        <f>E73</f>
        <v>2977900</v>
      </c>
      <c r="K82" s="95" t="s">
        <v>248</v>
      </c>
    </row>
    <row r="83" spans="1:11" x14ac:dyDescent="0.25">
      <c r="A83" s="13"/>
      <c r="B83" s="8"/>
      <c r="C83" s="8"/>
      <c r="D83" s="8"/>
      <c r="E83" s="11"/>
      <c r="F83" s="11"/>
      <c r="G83" s="13"/>
      <c r="I83" s="19"/>
      <c r="J83" s="100"/>
      <c r="K83" s="8" t="s">
        <v>249</v>
      </c>
    </row>
    <row r="84" spans="1:11" x14ac:dyDescent="0.25">
      <c r="I84" s="36">
        <f>SUM(I81:I83)-SUM(J81:J83)</f>
        <v>0</v>
      </c>
      <c r="J84" s="13"/>
    </row>
    <row r="85" spans="1:11" x14ac:dyDescent="0.25">
      <c r="H85" s="94"/>
      <c r="I85" s="102"/>
      <c r="J85" s="2"/>
    </row>
    <row r="86" spans="1:11" x14ac:dyDescent="0.25">
      <c r="H86" s="94"/>
      <c r="I86" s="11">
        <f>+I84+I85</f>
        <v>0</v>
      </c>
      <c r="J86" s="54"/>
    </row>
    <row r="87" spans="1:11" x14ac:dyDescent="0.25">
      <c r="B87" s="168" t="s">
        <v>250</v>
      </c>
      <c r="C87" s="168"/>
      <c r="D87" s="8"/>
      <c r="E87" s="168" t="s">
        <v>148</v>
      </c>
      <c r="F87" s="168"/>
      <c r="G87" s="168"/>
      <c r="H87" s="8"/>
      <c r="I87" s="168" t="s">
        <v>143</v>
      </c>
      <c r="J87" s="168"/>
    </row>
    <row r="88" spans="1:11" x14ac:dyDescent="0.25">
      <c r="B88" s="86"/>
      <c r="C88" s="11">
        <f>G44</f>
        <v>5150000</v>
      </c>
      <c r="E88" s="86"/>
      <c r="F88" s="26"/>
      <c r="G88" s="11">
        <f>G53</f>
        <v>59400</v>
      </c>
      <c r="H88" s="94" t="s">
        <v>251</v>
      </c>
      <c r="I88" s="36">
        <f>E73</f>
        <v>2977900</v>
      </c>
    </row>
    <row r="89" spans="1:11" x14ac:dyDescent="0.25">
      <c r="B89" s="87"/>
      <c r="C89" s="11"/>
      <c r="E89" s="87"/>
      <c r="F89" s="26"/>
      <c r="G89" s="11"/>
      <c r="H89" s="94" t="s">
        <v>168</v>
      </c>
      <c r="I89" s="19"/>
      <c r="J89" s="26"/>
    </row>
    <row r="90" spans="1:11" x14ac:dyDescent="0.25">
      <c r="B90" s="87"/>
      <c r="C90" s="100"/>
      <c r="E90" s="26"/>
      <c r="F90" s="58"/>
      <c r="G90" s="11"/>
      <c r="I90" s="19"/>
      <c r="J90" s="58"/>
      <c r="K90" s="26"/>
    </row>
    <row r="91" spans="1:11" x14ac:dyDescent="0.25">
      <c r="B91" s="26"/>
      <c r="C91" s="17"/>
      <c r="E91" s="26"/>
      <c r="F91" s="138"/>
      <c r="G91" s="8"/>
      <c r="I91" s="36">
        <f>SUM(I88:I90)-SUM(J88:J90)</f>
        <v>2977900</v>
      </c>
      <c r="J91" s="2"/>
    </row>
    <row r="92" spans="1:11" x14ac:dyDescent="0.25">
      <c r="B92" s="86"/>
      <c r="C92" s="35">
        <f>C88</f>
        <v>5150000</v>
      </c>
      <c r="E92" s="86"/>
      <c r="F92" s="89"/>
      <c r="G92" s="35">
        <f>G88</f>
        <v>59400</v>
      </c>
      <c r="H92" s="94" t="s">
        <v>167</v>
      </c>
      <c r="I92" s="102">
        <f>+J113</f>
        <v>647.5</v>
      </c>
      <c r="J92" s="2"/>
    </row>
    <row r="93" spans="1:11" x14ac:dyDescent="0.25">
      <c r="H93" s="94" t="s">
        <v>166</v>
      </c>
      <c r="I93" s="11">
        <f>+I91+I92</f>
        <v>2978547.5</v>
      </c>
      <c r="J93" s="54"/>
    </row>
    <row r="94" spans="1:11" x14ac:dyDescent="0.25">
      <c r="B94" s="168" t="s">
        <v>149</v>
      </c>
      <c r="C94" s="168"/>
      <c r="D94" s="8"/>
      <c r="E94" s="168" t="s">
        <v>150</v>
      </c>
      <c r="F94" s="168"/>
      <c r="G94" s="168"/>
      <c r="H94" s="8"/>
      <c r="I94" s="168" t="s">
        <v>101</v>
      </c>
      <c r="J94" s="168"/>
    </row>
    <row r="95" spans="1:11" x14ac:dyDescent="0.25">
      <c r="B95" s="86"/>
      <c r="C95" s="11">
        <f>G56</f>
        <v>11000</v>
      </c>
      <c r="E95" s="86"/>
      <c r="F95" s="26"/>
      <c r="G95" s="11">
        <f>G57</f>
        <v>9000</v>
      </c>
      <c r="I95" s="86"/>
      <c r="J95" s="11">
        <f>G59</f>
        <v>4800</v>
      </c>
    </row>
    <row r="96" spans="1:11" x14ac:dyDescent="0.25">
      <c r="B96" s="87"/>
      <c r="C96" s="11"/>
      <c r="E96" s="87"/>
      <c r="F96" s="26"/>
      <c r="G96" s="11"/>
      <c r="I96" s="87"/>
      <c r="J96" s="11"/>
    </row>
    <row r="97" spans="1:10" x14ac:dyDescent="0.25">
      <c r="B97" s="26"/>
      <c r="C97" s="17"/>
      <c r="E97" s="26"/>
      <c r="F97" s="138"/>
      <c r="G97" s="8"/>
      <c r="I97" s="26"/>
      <c r="J97" s="17"/>
    </row>
    <row r="98" spans="1:10" x14ac:dyDescent="0.25">
      <c r="B98" s="86"/>
      <c r="C98" s="35">
        <f>C95</f>
        <v>11000</v>
      </c>
      <c r="E98" s="86"/>
      <c r="F98" s="89"/>
      <c r="G98" s="35">
        <f>G95</f>
        <v>9000</v>
      </c>
      <c r="I98" s="86"/>
      <c r="J98" s="35">
        <f>J95</f>
        <v>4800</v>
      </c>
    </row>
    <row r="100" spans="1:10" x14ac:dyDescent="0.25">
      <c r="B100" s="168" t="s">
        <v>102</v>
      </c>
      <c r="C100" s="168"/>
      <c r="D100" s="8"/>
      <c r="E100" s="168" t="s">
        <v>103</v>
      </c>
      <c r="F100" s="168"/>
      <c r="G100" s="168"/>
      <c r="H100" s="8"/>
      <c r="I100" s="168" t="s">
        <v>253</v>
      </c>
      <c r="J100" s="168"/>
    </row>
    <row r="101" spans="1:10" x14ac:dyDescent="0.25">
      <c r="B101" s="86"/>
      <c r="C101" s="11">
        <f>G60</f>
        <v>3800</v>
      </c>
      <c r="E101" s="86"/>
      <c r="F101" s="26"/>
      <c r="G101" s="11">
        <f>G61</f>
        <v>1800</v>
      </c>
      <c r="I101" s="36">
        <f>E70</f>
        <v>4169059.9999999995</v>
      </c>
      <c r="J101" s="26"/>
    </row>
    <row r="102" spans="1:10" x14ac:dyDescent="0.25">
      <c r="B102" s="87"/>
      <c r="C102" s="11"/>
      <c r="E102" s="87"/>
      <c r="F102" s="26"/>
      <c r="G102" s="11"/>
      <c r="I102" s="19"/>
      <c r="J102" s="26"/>
    </row>
    <row r="103" spans="1:10" x14ac:dyDescent="0.25">
      <c r="B103" s="26"/>
      <c r="C103" s="17"/>
      <c r="E103" s="26"/>
      <c r="F103" s="138"/>
      <c r="G103" s="8"/>
      <c r="I103" s="11"/>
      <c r="J103" s="29"/>
    </row>
    <row r="104" spans="1:10" x14ac:dyDescent="0.25">
      <c r="B104" s="86"/>
      <c r="C104" s="35">
        <f>C101</f>
        <v>3800</v>
      </c>
      <c r="E104" s="86"/>
      <c r="F104" s="89"/>
      <c r="G104" s="35">
        <f>G101</f>
        <v>1800</v>
      </c>
      <c r="I104" s="36">
        <f>I101</f>
        <v>4169059.9999999995</v>
      </c>
      <c r="J104" s="89"/>
    </row>
    <row r="106" spans="1:10" x14ac:dyDescent="0.25">
      <c r="B106" s="168" t="s">
        <v>142</v>
      </c>
      <c r="C106" s="168"/>
      <c r="E106" s="168" t="str">
        <f>+A62</f>
        <v>Cuentas por Pagar-Otras</v>
      </c>
      <c r="F106" s="168"/>
      <c r="G106" s="168"/>
    </row>
    <row r="107" spans="1:10" x14ac:dyDescent="0.25">
      <c r="B107" s="86"/>
      <c r="C107" s="11">
        <f>G71</f>
        <v>4169059.9999999995</v>
      </c>
      <c r="E107" s="86"/>
      <c r="F107" s="26"/>
      <c r="G107" s="11">
        <f>+G62</f>
        <v>700</v>
      </c>
    </row>
    <row r="108" spans="1:10" x14ac:dyDescent="0.25">
      <c r="B108" s="87"/>
      <c r="C108" s="11"/>
      <c r="E108" s="87"/>
      <c r="F108" s="26"/>
      <c r="G108" s="11"/>
    </row>
    <row r="109" spans="1:10" x14ac:dyDescent="0.25">
      <c r="B109" s="26"/>
      <c r="C109" s="17"/>
      <c r="E109" s="26"/>
      <c r="F109" s="138"/>
      <c r="G109" s="8"/>
    </row>
    <row r="110" spans="1:10" x14ac:dyDescent="0.25">
      <c r="B110" s="86"/>
      <c r="C110" s="35">
        <f>C107</f>
        <v>4169059.9999999995</v>
      </c>
      <c r="E110" s="86"/>
      <c r="F110" s="89"/>
      <c r="G110" s="35">
        <f>G107</f>
        <v>700</v>
      </c>
    </row>
    <row r="112" spans="1:10" x14ac:dyDescent="0.25">
      <c r="A112" s="64" t="s">
        <v>165</v>
      </c>
      <c r="B112" s="8"/>
      <c r="C112" s="8"/>
      <c r="D112" s="8"/>
      <c r="E112" s="8"/>
      <c r="F112" s="8"/>
      <c r="G112" s="8"/>
      <c r="H112" s="98" t="s">
        <v>166</v>
      </c>
      <c r="I112" s="8"/>
      <c r="J112" s="8"/>
    </row>
    <row r="113" spans="1:10" x14ac:dyDescent="0.25">
      <c r="A113" s="8" t="s">
        <v>143</v>
      </c>
      <c r="B113" s="8"/>
      <c r="C113" s="8"/>
      <c r="D113" s="11">
        <f>+E80</f>
        <v>647.5</v>
      </c>
      <c r="E113" s="139">
        <f>D113/$D$114</f>
        <v>1</v>
      </c>
      <c r="F113" s="139"/>
      <c r="G113" s="9" t="s">
        <v>145</v>
      </c>
      <c r="H113" s="11">
        <f>G81</f>
        <v>647.5</v>
      </c>
      <c r="I113" s="9" t="s">
        <v>146</v>
      </c>
      <c r="J113" s="11">
        <f t="shared" ref="J113" si="2">E113*H113</f>
        <v>647.5</v>
      </c>
    </row>
    <row r="114" spans="1:10" x14ac:dyDescent="0.25">
      <c r="A114" s="8"/>
      <c r="B114" s="8"/>
      <c r="C114" s="8"/>
      <c r="D114" s="35">
        <f>SUM(D113:D113)</f>
        <v>647.5</v>
      </c>
      <c r="E114" s="140">
        <f>SUM(E113:E113)</f>
        <v>1</v>
      </c>
      <c r="F114" s="139"/>
      <c r="G114" s="8"/>
      <c r="H114" s="8"/>
      <c r="I114" s="8"/>
      <c r="J114" s="35">
        <f>SUM(J113:J113)</f>
        <v>647.5</v>
      </c>
    </row>
    <row r="115" spans="1:10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20" spans="1:10" ht="15.75" x14ac:dyDescent="0.25">
      <c r="C120" s="166" t="s">
        <v>262</v>
      </c>
      <c r="D120" s="166"/>
      <c r="E120" s="166"/>
      <c r="F120" s="166"/>
      <c r="G120" s="166"/>
      <c r="H120" s="166"/>
      <c r="I120" s="166"/>
    </row>
    <row r="121" spans="1:10" ht="15.75" x14ac:dyDescent="0.25">
      <c r="C121" s="166" t="s">
        <v>186</v>
      </c>
      <c r="D121" s="166"/>
      <c r="E121" s="166"/>
      <c r="F121" s="166"/>
      <c r="G121" s="166"/>
      <c r="H121" s="166"/>
      <c r="I121" s="166"/>
    </row>
    <row r="122" spans="1:10" x14ac:dyDescent="0.25">
      <c r="C122" s="165" t="s">
        <v>255</v>
      </c>
      <c r="D122" s="165"/>
      <c r="E122" s="165"/>
      <c r="F122" s="165"/>
      <c r="G122" s="165"/>
      <c r="H122" s="165"/>
      <c r="I122" s="165"/>
    </row>
    <row r="123" spans="1:10" ht="5.0999999999999996" customHeight="1" x14ac:dyDescent="0.25"/>
    <row r="124" spans="1:10" x14ac:dyDescent="0.25">
      <c r="C124" s="104" t="s">
        <v>172</v>
      </c>
      <c r="D124" s="105"/>
      <c r="E124" s="105"/>
      <c r="F124" s="105"/>
      <c r="G124" s="105"/>
      <c r="H124" s="105"/>
      <c r="I124" s="105"/>
    </row>
    <row r="125" spans="1:10" x14ac:dyDescent="0.25">
      <c r="C125" s="105" t="s">
        <v>256</v>
      </c>
      <c r="D125" s="105"/>
      <c r="E125" s="105"/>
      <c r="F125" s="105"/>
      <c r="G125" s="105"/>
      <c r="H125" s="106">
        <f>+C6+C7</f>
        <v>180000</v>
      </c>
      <c r="I125" s="105"/>
    </row>
    <row r="126" spans="1:10" x14ac:dyDescent="0.25">
      <c r="C126" s="105" t="s">
        <v>170</v>
      </c>
      <c r="D126" s="105"/>
      <c r="E126" s="105"/>
      <c r="F126" s="105"/>
      <c r="G126" s="105"/>
      <c r="H126" s="106">
        <f>+I6</f>
        <v>4500000</v>
      </c>
      <c r="I126" s="105"/>
    </row>
    <row r="127" spans="1:10" x14ac:dyDescent="0.25">
      <c r="C127" s="105" t="s">
        <v>171</v>
      </c>
      <c r="D127" s="105"/>
      <c r="E127" s="105"/>
      <c r="F127" s="105"/>
      <c r="G127" s="105"/>
      <c r="H127" s="107">
        <f>SUM(H125:H126)</f>
        <v>4680000</v>
      </c>
      <c r="I127" s="105"/>
    </row>
    <row r="128" spans="1:10" x14ac:dyDescent="0.25">
      <c r="C128" s="105" t="s">
        <v>257</v>
      </c>
      <c r="D128" s="105"/>
      <c r="E128" s="105"/>
      <c r="F128" s="105"/>
      <c r="G128" s="105"/>
      <c r="H128" s="108">
        <f>+I44</f>
        <v>900000</v>
      </c>
      <c r="I128" s="105"/>
    </row>
    <row r="129" spans="3:9" x14ac:dyDescent="0.25">
      <c r="C129" s="105" t="s">
        <v>181</v>
      </c>
      <c r="D129" s="105"/>
      <c r="E129" s="105"/>
      <c r="F129" s="105"/>
      <c r="G129" s="105"/>
      <c r="H129" s="105"/>
      <c r="I129" s="106">
        <f>+H127-H128</f>
        <v>3780000</v>
      </c>
    </row>
    <row r="130" spans="3:9" x14ac:dyDescent="0.25">
      <c r="C130" s="105" t="s">
        <v>174</v>
      </c>
      <c r="D130" s="105"/>
      <c r="E130" s="105"/>
      <c r="F130" s="105"/>
      <c r="G130" s="105"/>
      <c r="H130" s="105"/>
      <c r="I130" s="106">
        <f>+SUM(E19:E22)</f>
        <v>47400</v>
      </c>
    </row>
    <row r="131" spans="3:9" x14ac:dyDescent="0.25">
      <c r="C131" s="104" t="s">
        <v>175</v>
      </c>
      <c r="D131" s="105"/>
      <c r="E131" s="105"/>
      <c r="F131" s="105"/>
      <c r="G131" s="105"/>
      <c r="H131" s="105"/>
      <c r="I131" s="105"/>
    </row>
    <row r="132" spans="3:9" x14ac:dyDescent="0.25">
      <c r="C132" s="105" t="s">
        <v>176</v>
      </c>
      <c r="D132" s="105"/>
      <c r="E132" s="105"/>
      <c r="F132" s="105"/>
      <c r="G132" s="105"/>
      <c r="H132" s="106">
        <f>+SUM(E13:E16)</f>
        <v>555000</v>
      </c>
      <c r="I132" s="105"/>
    </row>
    <row r="133" spans="3:9" x14ac:dyDescent="0.25">
      <c r="C133" s="105" t="s">
        <v>46</v>
      </c>
      <c r="D133" s="105"/>
      <c r="E133" s="105"/>
      <c r="F133" s="105"/>
      <c r="G133" s="105"/>
      <c r="H133" s="106">
        <f>+E23</f>
        <v>12000</v>
      </c>
      <c r="I133" s="105"/>
    </row>
    <row r="134" spans="3:9" x14ac:dyDescent="0.25">
      <c r="C134" s="105" t="s">
        <v>99</v>
      </c>
      <c r="D134" s="105"/>
      <c r="E134" s="105"/>
      <c r="F134" s="105"/>
      <c r="G134" s="105"/>
      <c r="H134" s="106">
        <f t="shared" ref="H134:H140" si="3">+G56</f>
        <v>11000</v>
      </c>
      <c r="I134" s="105"/>
    </row>
    <row r="135" spans="3:9" x14ac:dyDescent="0.25">
      <c r="C135" s="105" t="s">
        <v>100</v>
      </c>
      <c r="D135" s="105"/>
      <c r="E135" s="105"/>
      <c r="F135" s="105"/>
      <c r="G135" s="105"/>
      <c r="H135" s="106">
        <f t="shared" si="3"/>
        <v>9000</v>
      </c>
      <c r="I135" s="105"/>
    </row>
    <row r="136" spans="3:9" x14ac:dyDescent="0.25">
      <c r="C136" s="105" t="s">
        <v>101</v>
      </c>
      <c r="D136" s="105"/>
      <c r="E136" s="105"/>
      <c r="F136" s="105"/>
      <c r="G136" s="105"/>
      <c r="H136" s="106">
        <f t="shared" si="3"/>
        <v>62000</v>
      </c>
      <c r="I136" s="105"/>
    </row>
    <row r="137" spans="3:9" x14ac:dyDescent="0.25">
      <c r="C137" s="105" t="s">
        <v>244</v>
      </c>
      <c r="D137" s="105"/>
      <c r="E137" s="105"/>
      <c r="F137" s="105"/>
      <c r="G137" s="105"/>
      <c r="H137" s="106">
        <f t="shared" si="3"/>
        <v>4800</v>
      </c>
      <c r="I137" s="105"/>
    </row>
    <row r="138" spans="3:9" x14ac:dyDescent="0.25">
      <c r="C138" s="105" t="s">
        <v>102</v>
      </c>
      <c r="D138" s="105"/>
      <c r="E138" s="105"/>
      <c r="F138" s="105"/>
      <c r="G138" s="105"/>
      <c r="H138" s="106">
        <f t="shared" si="3"/>
        <v>3800</v>
      </c>
      <c r="I138" s="105"/>
    </row>
    <row r="139" spans="3:9" x14ac:dyDescent="0.25">
      <c r="C139" s="105" t="s">
        <v>103</v>
      </c>
      <c r="D139" s="105"/>
      <c r="E139" s="105"/>
      <c r="F139" s="105"/>
      <c r="G139" s="105"/>
      <c r="H139" s="106">
        <f t="shared" si="3"/>
        <v>1800</v>
      </c>
      <c r="I139" s="105"/>
    </row>
    <row r="140" spans="3:9" x14ac:dyDescent="0.25">
      <c r="C140" s="105" t="s">
        <v>254</v>
      </c>
      <c r="D140" s="105"/>
      <c r="E140" s="105"/>
      <c r="F140" s="105"/>
      <c r="G140" s="105"/>
      <c r="H140" s="106">
        <f t="shared" si="3"/>
        <v>700</v>
      </c>
      <c r="I140" s="105"/>
    </row>
    <row r="141" spans="3:9" x14ac:dyDescent="0.25">
      <c r="C141" s="105" t="s">
        <v>177</v>
      </c>
      <c r="D141" s="105"/>
      <c r="E141" s="105"/>
      <c r="F141" s="105"/>
      <c r="G141" s="105"/>
      <c r="H141" s="107">
        <f>+SUM(H132:H140)</f>
        <v>660100</v>
      </c>
      <c r="I141" s="105"/>
    </row>
    <row r="142" spans="3:9" x14ac:dyDescent="0.25">
      <c r="C142" s="105" t="s">
        <v>178</v>
      </c>
      <c r="D142" s="105"/>
      <c r="E142" s="105"/>
      <c r="F142" s="105"/>
      <c r="G142" s="105"/>
      <c r="H142" s="106">
        <f>+I76</f>
        <v>647.5</v>
      </c>
      <c r="I142" s="105"/>
    </row>
    <row r="143" spans="3:9" x14ac:dyDescent="0.25">
      <c r="C143" s="105" t="s">
        <v>179</v>
      </c>
      <c r="D143" s="105"/>
      <c r="E143" s="105"/>
      <c r="F143" s="105"/>
      <c r="G143" s="105"/>
      <c r="H143" s="107"/>
      <c r="I143" s="106">
        <f>+H141-H142</f>
        <v>659452.5</v>
      </c>
    </row>
    <row r="144" spans="3:9" x14ac:dyDescent="0.25">
      <c r="C144" s="105" t="s">
        <v>180</v>
      </c>
      <c r="D144" s="105"/>
      <c r="E144" s="105"/>
      <c r="F144" s="105"/>
      <c r="G144" s="105"/>
      <c r="H144" s="105"/>
      <c r="I144" s="107">
        <f>+SUM(I129:I143)</f>
        <v>4486852.5</v>
      </c>
    </row>
    <row r="145" spans="1:9" x14ac:dyDescent="0.25">
      <c r="C145" s="105" t="s">
        <v>258</v>
      </c>
      <c r="D145" s="105"/>
      <c r="E145" s="105"/>
      <c r="F145" s="105"/>
      <c r="G145" s="105"/>
      <c r="H145" s="105"/>
      <c r="I145" s="106">
        <v>0</v>
      </c>
    </row>
    <row r="146" spans="1:9" x14ac:dyDescent="0.25">
      <c r="C146" s="105" t="s">
        <v>182</v>
      </c>
      <c r="D146" s="105"/>
      <c r="E146" s="105"/>
      <c r="F146" s="105"/>
      <c r="G146" s="105"/>
      <c r="H146" s="105"/>
      <c r="I146" s="107">
        <f>+I144+I145</f>
        <v>4486852.5</v>
      </c>
    </row>
    <row r="147" spans="1:9" x14ac:dyDescent="0.25">
      <c r="C147" s="105" t="s">
        <v>259</v>
      </c>
      <c r="D147" s="105"/>
      <c r="E147" s="105"/>
      <c r="F147" s="105"/>
      <c r="G147" s="105"/>
      <c r="H147" s="105"/>
      <c r="I147" s="106">
        <f>+I57</f>
        <v>1508952.5</v>
      </c>
    </row>
    <row r="148" spans="1:9" ht="15.75" thickBot="1" x14ac:dyDescent="0.3">
      <c r="C148" s="105" t="s">
        <v>183</v>
      </c>
      <c r="D148" s="105"/>
      <c r="E148" s="105"/>
      <c r="F148" s="105"/>
      <c r="G148" s="105"/>
      <c r="H148" s="105"/>
      <c r="I148" s="109">
        <f>+I146-I147</f>
        <v>2977900</v>
      </c>
    </row>
    <row r="149" spans="1:9" ht="15.75" thickTop="1" x14ac:dyDescent="0.25"/>
    <row r="150" spans="1:9" ht="15.75" x14ac:dyDescent="0.25">
      <c r="C150" s="166" t="s">
        <v>262</v>
      </c>
      <c r="D150" s="166"/>
      <c r="E150" s="166"/>
      <c r="F150" s="166"/>
      <c r="G150" s="166"/>
      <c r="H150" s="166"/>
      <c r="I150" s="166"/>
    </row>
    <row r="151" spans="1:9" ht="15.75" x14ac:dyDescent="0.25">
      <c r="C151" s="166" t="s">
        <v>193</v>
      </c>
      <c r="D151" s="166"/>
      <c r="E151" s="166"/>
      <c r="F151" s="166"/>
      <c r="G151" s="166"/>
      <c r="H151" s="166"/>
      <c r="I151" s="166"/>
    </row>
    <row r="152" spans="1:9" x14ac:dyDescent="0.25">
      <c r="C152" s="165" t="s">
        <v>255</v>
      </c>
      <c r="D152" s="165"/>
      <c r="E152" s="165"/>
      <c r="F152" s="165"/>
      <c r="G152" s="165"/>
      <c r="H152" s="165"/>
      <c r="I152" s="165"/>
    </row>
    <row r="153" spans="1:9" hidden="1" x14ac:dyDescent="0.25">
      <c r="A153">
        <v>5</v>
      </c>
    </row>
    <row r="154" spans="1:9" x14ac:dyDescent="0.25">
      <c r="C154" s="105" t="s">
        <v>260</v>
      </c>
      <c r="D154" s="105"/>
      <c r="E154" s="105"/>
      <c r="F154" s="105"/>
      <c r="G154" s="105"/>
      <c r="H154" s="105"/>
      <c r="I154" s="106">
        <v>0</v>
      </c>
    </row>
    <row r="155" spans="1:9" x14ac:dyDescent="0.25">
      <c r="C155" s="105" t="str">
        <f>+C148</f>
        <v>Costo de los Artículos Fabricados</v>
      </c>
      <c r="D155" s="105"/>
      <c r="E155" s="105"/>
      <c r="F155" s="105"/>
      <c r="G155" s="105"/>
      <c r="H155" s="105"/>
      <c r="I155" s="108">
        <f>+I148</f>
        <v>2977900</v>
      </c>
    </row>
    <row r="156" spans="1:9" x14ac:dyDescent="0.25">
      <c r="C156" s="105" t="s">
        <v>198</v>
      </c>
      <c r="D156" s="105"/>
      <c r="E156" s="105"/>
      <c r="F156" s="105"/>
      <c r="G156" s="105"/>
      <c r="H156" s="105"/>
      <c r="I156" s="106">
        <f>+I154+I155</f>
        <v>2977900</v>
      </c>
    </row>
    <row r="157" spans="1:9" x14ac:dyDescent="0.25">
      <c r="C157" s="105" t="s">
        <v>261</v>
      </c>
      <c r="D157" s="105"/>
      <c r="E157" s="105"/>
      <c r="F157" s="105"/>
      <c r="G157" s="105"/>
      <c r="H157" s="105"/>
      <c r="I157" s="108">
        <f>I84</f>
        <v>0</v>
      </c>
    </row>
    <row r="158" spans="1:9" x14ac:dyDescent="0.25">
      <c r="C158" s="105" t="s">
        <v>201</v>
      </c>
      <c r="D158" s="105"/>
      <c r="E158" s="105"/>
      <c r="F158" s="105"/>
      <c r="G158" s="105"/>
      <c r="H158" s="105"/>
      <c r="I158" s="106">
        <f>+I156-I157</f>
        <v>2977900</v>
      </c>
    </row>
    <row r="159" spans="1:9" x14ac:dyDescent="0.25">
      <c r="C159" s="105" t="s">
        <v>202</v>
      </c>
      <c r="D159" s="105"/>
      <c r="E159" s="105"/>
      <c r="F159" s="105"/>
      <c r="G159" s="105"/>
      <c r="H159" s="105"/>
      <c r="I159" s="106">
        <f>+J113</f>
        <v>647.5</v>
      </c>
    </row>
    <row r="160" spans="1:9" ht="15.75" thickBot="1" x14ac:dyDescent="0.3">
      <c r="C160" s="105" t="s">
        <v>203</v>
      </c>
      <c r="D160" s="105"/>
      <c r="E160" s="105"/>
      <c r="F160" s="105"/>
      <c r="G160" s="105"/>
      <c r="H160" s="105"/>
      <c r="I160" s="109">
        <f>+I158+I159</f>
        <v>2978547.5</v>
      </c>
    </row>
    <row r="161" ht="15.75" thickTop="1" x14ac:dyDescent="0.25"/>
  </sheetData>
  <mergeCells count="25">
    <mergeCell ref="C122:I122"/>
    <mergeCell ref="C150:I150"/>
    <mergeCell ref="C151:I151"/>
    <mergeCell ref="C152:I152"/>
    <mergeCell ref="B100:C100"/>
    <mergeCell ref="E100:G100"/>
    <mergeCell ref="I100:J100"/>
    <mergeCell ref="B106:C106"/>
    <mergeCell ref="C120:I120"/>
    <mergeCell ref="C121:I121"/>
    <mergeCell ref="E106:G106"/>
    <mergeCell ref="B94:C94"/>
    <mergeCell ref="E94:G94"/>
    <mergeCell ref="I94:J94"/>
    <mergeCell ref="A41:D41"/>
    <mergeCell ref="B87:C87"/>
    <mergeCell ref="E87:G87"/>
    <mergeCell ref="I87:J87"/>
    <mergeCell ref="I75:J75"/>
    <mergeCell ref="I80:J80"/>
    <mergeCell ref="I40:J40"/>
    <mergeCell ref="I46:J46"/>
    <mergeCell ref="I52:J52"/>
    <mergeCell ref="I60:J60"/>
    <mergeCell ref="I69:J69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scale="99" orientation="landscape" verticalDpi="0" r:id="rId1"/>
  <headerFooter>
    <oddHeader>&amp;R&amp;9CONTAB.COSTOS</oddHeader>
    <oddFooter>&amp;R&amp;"-,Negrita"&amp;9PROF.: Fernando Pérez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showGridLines="0" workbookViewId="0"/>
  </sheetViews>
  <sheetFormatPr baseColWidth="10" defaultRowHeight="15" x14ac:dyDescent="0.25"/>
  <cols>
    <col min="1" max="2" width="6.5703125" customWidth="1"/>
    <col min="3" max="3" width="11.28515625" customWidth="1"/>
    <col min="4" max="4" width="7.7109375" customWidth="1"/>
    <col min="5" max="5" width="6.5703125" customWidth="1"/>
    <col min="6" max="6" width="10.5703125" customWidth="1"/>
    <col min="7" max="7" width="6.5703125" customWidth="1"/>
    <col min="8" max="8" width="8.7109375" customWidth="1"/>
    <col min="9" max="9" width="11.7109375" customWidth="1"/>
    <col min="10" max="10" width="11.5703125" customWidth="1"/>
    <col min="11" max="11" width="14" bestFit="1" customWidth="1"/>
  </cols>
  <sheetData>
    <row r="1" spans="1:11" ht="21" x14ac:dyDescent="0.35">
      <c r="A1" s="142" t="s">
        <v>263</v>
      </c>
    </row>
    <row r="3" spans="1:11" ht="19.5" thickBot="1" x14ac:dyDescent="0.35">
      <c r="A3" s="176" t="s">
        <v>51</v>
      </c>
      <c r="B3" s="176"/>
      <c r="C3" s="176"/>
      <c r="D3" s="176"/>
      <c r="E3" s="176"/>
      <c r="F3" s="176"/>
      <c r="G3" s="176"/>
      <c r="H3" s="176"/>
      <c r="I3" s="176"/>
    </row>
    <row r="4" spans="1:11" ht="15.75" x14ac:dyDescent="0.25">
      <c r="A4" s="67"/>
      <c r="B4" s="8" t="s">
        <v>62</v>
      </c>
      <c r="C4" s="63">
        <f>+'Arte Fino Maderas'!B6</f>
        <v>750</v>
      </c>
      <c r="D4" s="11"/>
      <c r="E4" s="8"/>
      <c r="F4" s="8" t="s">
        <v>52</v>
      </c>
      <c r="G4" s="61"/>
      <c r="H4" s="8"/>
      <c r="I4" s="68"/>
    </row>
    <row r="5" spans="1:11" x14ac:dyDescent="0.25">
      <c r="A5" s="67"/>
      <c r="B5" s="8" t="s">
        <v>26</v>
      </c>
      <c r="C5" s="60"/>
      <c r="D5" s="8"/>
      <c r="E5" s="8"/>
      <c r="F5" s="8" t="s">
        <v>53</v>
      </c>
      <c r="G5" s="61"/>
      <c r="H5" s="8"/>
      <c r="I5" s="68"/>
    </row>
    <row r="6" spans="1:11" ht="15.75" thickBot="1" x14ac:dyDescent="0.3">
      <c r="A6" s="67"/>
      <c r="B6" s="8" t="s">
        <v>238</v>
      </c>
      <c r="C6" s="177" t="str">
        <f>+'Arte Fino Maderas'!G22</f>
        <v>Puertas Entamb.</v>
      </c>
      <c r="D6" s="177"/>
      <c r="E6" s="8"/>
      <c r="F6" s="8" t="s">
        <v>66</v>
      </c>
      <c r="G6" s="57"/>
      <c r="H6" s="8">
        <v>50</v>
      </c>
      <c r="I6" s="68"/>
    </row>
    <row r="7" spans="1:11" ht="15.75" thickBot="1" x14ac:dyDescent="0.3">
      <c r="A7" s="162" t="s">
        <v>58</v>
      </c>
      <c r="B7" s="157"/>
      <c r="C7" s="158"/>
      <c r="D7" s="159" t="s">
        <v>59</v>
      </c>
      <c r="E7" s="160"/>
      <c r="F7" s="161"/>
      <c r="G7" s="162" t="s">
        <v>60</v>
      </c>
      <c r="H7" s="157"/>
      <c r="I7" s="158"/>
    </row>
    <row r="8" spans="1:11" x14ac:dyDescent="0.25">
      <c r="A8" s="122" t="s">
        <v>232</v>
      </c>
      <c r="B8" s="123" t="s">
        <v>20</v>
      </c>
      <c r="C8" s="123" t="s">
        <v>55</v>
      </c>
      <c r="D8" s="123" t="s">
        <v>234</v>
      </c>
      <c r="E8" s="123" t="s">
        <v>57</v>
      </c>
      <c r="F8" s="123" t="s">
        <v>55</v>
      </c>
      <c r="G8" s="123" t="s">
        <v>57</v>
      </c>
      <c r="H8" s="123" t="s">
        <v>24</v>
      </c>
      <c r="I8" s="124" t="s">
        <v>55</v>
      </c>
    </row>
    <row r="9" spans="1:11" x14ac:dyDescent="0.25">
      <c r="A9" s="133" t="s">
        <v>240</v>
      </c>
      <c r="B9" s="14"/>
      <c r="C9" s="132">
        <f>+'Arte Fino Maderas'!C6</f>
        <v>100000</v>
      </c>
      <c r="D9" s="37">
        <v>680</v>
      </c>
      <c r="E9" s="14">
        <f>+'Arte Fino Maderas'!D19</f>
        <v>40</v>
      </c>
      <c r="F9" s="35">
        <f>+'Arte Fino Maderas'!E19</f>
        <v>12000</v>
      </c>
      <c r="G9" s="37">
        <f>+SUM('Arte Fino Maderas'!D19:D20)</f>
        <v>80</v>
      </c>
      <c r="H9" s="35">
        <f>SUM('Arte Fino Maderas'!H11:H19)/160</f>
        <v>4173.75</v>
      </c>
      <c r="I9" s="72">
        <f>+G9*H9</f>
        <v>333900</v>
      </c>
    </row>
    <row r="10" spans="1:11" x14ac:dyDescent="0.25">
      <c r="A10" s="73">
        <v>758</v>
      </c>
      <c r="B10" s="9">
        <f>+'Arte Fino Maderas'!D12</f>
        <v>12</v>
      </c>
      <c r="C10" s="114">
        <f>+'Arte Fino Maderas'!E11</f>
        <v>2520000</v>
      </c>
      <c r="D10" s="38">
        <v>680</v>
      </c>
      <c r="E10" s="9">
        <f>+'Arte Fino Maderas'!D20</f>
        <v>40</v>
      </c>
      <c r="F10" s="11">
        <f>+'Arte Fino Maderas'!E20</f>
        <v>12000</v>
      </c>
      <c r="G10" s="17"/>
      <c r="H10" s="8"/>
      <c r="I10" s="68"/>
    </row>
    <row r="11" spans="1:11" x14ac:dyDescent="0.25">
      <c r="A11" s="125"/>
      <c r="B11" s="6"/>
      <c r="C11" s="115"/>
      <c r="D11" s="39"/>
      <c r="E11" s="6"/>
      <c r="F11" s="7"/>
      <c r="G11" s="20"/>
      <c r="H11" s="4"/>
      <c r="I11" s="75"/>
    </row>
    <row r="12" spans="1:11" x14ac:dyDescent="0.25">
      <c r="A12" s="173" t="s">
        <v>69</v>
      </c>
      <c r="B12" s="174"/>
      <c r="C12" s="174"/>
      <c r="D12" s="174"/>
      <c r="E12" s="174"/>
      <c r="F12" s="174"/>
      <c r="G12" s="174"/>
      <c r="H12" s="174"/>
      <c r="I12" s="175"/>
    </row>
    <row r="13" spans="1:11" x14ac:dyDescent="0.25">
      <c r="A13" s="120" t="s">
        <v>172</v>
      </c>
      <c r="B13" s="8"/>
      <c r="C13" s="11"/>
      <c r="D13" s="178">
        <f>+SUM(C9:C11)</f>
        <v>2620000</v>
      </c>
      <c r="E13" s="179"/>
      <c r="F13" s="60" t="s">
        <v>237</v>
      </c>
      <c r="H13" s="178">
        <f>+SUM(D13:E15)</f>
        <v>2977900</v>
      </c>
      <c r="I13" s="182"/>
      <c r="K13" s="129"/>
    </row>
    <row r="14" spans="1:11" x14ac:dyDescent="0.25">
      <c r="A14" s="120" t="s">
        <v>235</v>
      </c>
      <c r="B14" s="8"/>
      <c r="C14" s="11"/>
      <c r="D14" s="178">
        <f>+SUM(F9:F11)</f>
        <v>24000</v>
      </c>
      <c r="E14" s="179"/>
      <c r="F14" s="60" t="s">
        <v>67</v>
      </c>
      <c r="H14" s="178">
        <f>+H13/H6</f>
        <v>59558</v>
      </c>
      <c r="I14" s="183"/>
      <c r="K14" s="128"/>
    </row>
    <row r="15" spans="1:11" ht="15.75" thickBot="1" x14ac:dyDescent="0.3">
      <c r="A15" s="121" t="s">
        <v>236</v>
      </c>
      <c r="B15" s="117"/>
      <c r="C15" s="119"/>
      <c r="D15" s="180">
        <f>+SUM(I9:I11)</f>
        <v>333900</v>
      </c>
      <c r="E15" s="181"/>
      <c r="F15" s="78"/>
      <c r="G15" s="78"/>
      <c r="H15" s="126"/>
      <c r="I15" s="127"/>
    </row>
    <row r="16" spans="1:11" x14ac:dyDescent="0.25">
      <c r="B16" s="8"/>
      <c r="C16" s="11"/>
      <c r="G16" s="118"/>
      <c r="H16" s="118"/>
      <c r="I16" s="118"/>
    </row>
    <row r="17" spans="1:11" ht="19.5" thickBot="1" x14ac:dyDescent="0.35">
      <c r="A17" s="176" t="s">
        <v>51</v>
      </c>
      <c r="B17" s="176"/>
      <c r="C17" s="176"/>
      <c r="D17" s="176"/>
      <c r="E17" s="176"/>
      <c r="F17" s="176"/>
      <c r="G17" s="176"/>
      <c r="H17" s="176"/>
      <c r="I17" s="176"/>
    </row>
    <row r="18" spans="1:11" ht="15.75" x14ac:dyDescent="0.25">
      <c r="A18" s="67"/>
      <c r="B18" s="8" t="s">
        <v>62</v>
      </c>
      <c r="C18" s="63">
        <f>+'Arte Fino Maderas'!B7</f>
        <v>751</v>
      </c>
      <c r="D18" s="11"/>
      <c r="E18" s="8"/>
      <c r="F18" s="8" t="s">
        <v>52</v>
      </c>
      <c r="G18" s="61"/>
      <c r="H18" s="8"/>
      <c r="I18" s="68"/>
    </row>
    <row r="19" spans="1:11" x14ac:dyDescent="0.25">
      <c r="A19" s="67"/>
      <c r="B19" s="8" t="s">
        <v>26</v>
      </c>
      <c r="C19" s="60"/>
      <c r="D19" s="8"/>
      <c r="E19" s="8"/>
      <c r="F19" s="8" t="s">
        <v>53</v>
      </c>
      <c r="G19" s="61"/>
      <c r="H19" s="8"/>
      <c r="I19" s="68"/>
      <c r="K19" s="26"/>
    </row>
    <row r="20" spans="1:11" ht="15.75" thickBot="1" x14ac:dyDescent="0.3">
      <c r="A20" s="67"/>
      <c r="B20" s="8" t="s">
        <v>238</v>
      </c>
      <c r="C20" s="177" t="str">
        <f>+'Arte Fino Maderas'!G23</f>
        <v>Ventanas Entamb.</v>
      </c>
      <c r="D20" s="177"/>
      <c r="E20" s="8"/>
      <c r="F20" s="8" t="s">
        <v>66</v>
      </c>
      <c r="G20" s="57"/>
      <c r="H20" s="8">
        <v>60</v>
      </c>
      <c r="I20" s="68"/>
    </row>
    <row r="21" spans="1:11" ht="15.75" thickBot="1" x14ac:dyDescent="0.3">
      <c r="A21" s="162" t="s">
        <v>58</v>
      </c>
      <c r="B21" s="157"/>
      <c r="C21" s="158"/>
      <c r="D21" s="159" t="s">
        <v>59</v>
      </c>
      <c r="E21" s="160"/>
      <c r="F21" s="161"/>
      <c r="G21" s="162" t="s">
        <v>60</v>
      </c>
      <c r="H21" s="157"/>
      <c r="I21" s="158"/>
    </row>
    <row r="22" spans="1:11" x14ac:dyDescent="0.25">
      <c r="A22" s="122" t="s">
        <v>232</v>
      </c>
      <c r="B22" s="123" t="s">
        <v>20</v>
      </c>
      <c r="C22" s="123" t="s">
        <v>55</v>
      </c>
      <c r="D22" s="123" t="s">
        <v>234</v>
      </c>
      <c r="E22" s="123" t="s">
        <v>57</v>
      </c>
      <c r="F22" s="123" t="s">
        <v>55</v>
      </c>
      <c r="G22" s="123" t="s">
        <v>57</v>
      </c>
      <c r="H22" s="123" t="s">
        <v>24</v>
      </c>
      <c r="I22" s="124" t="s">
        <v>55</v>
      </c>
    </row>
    <row r="23" spans="1:11" x14ac:dyDescent="0.25">
      <c r="A23" s="133" t="s">
        <v>240</v>
      </c>
      <c r="B23" s="14"/>
      <c r="C23" s="132">
        <f>+'Arte Fino Maderas'!C7</f>
        <v>80000</v>
      </c>
      <c r="D23" s="37">
        <v>680</v>
      </c>
      <c r="E23" s="14">
        <f>+'Arte Fino Maderas'!D21</f>
        <v>40</v>
      </c>
      <c r="F23" s="35">
        <f>+'Arte Fino Maderas'!E21</f>
        <v>12000</v>
      </c>
      <c r="G23" s="37">
        <f>+SUM('Arte Fino Maderas'!D21:D22)</f>
        <v>78</v>
      </c>
      <c r="H23" s="35">
        <f>SUM('Arte Fino Maderas'!H11:H19)/160</f>
        <v>4173.75</v>
      </c>
      <c r="I23" s="72">
        <f>+G23*H23</f>
        <v>325552.5</v>
      </c>
    </row>
    <row r="24" spans="1:11" x14ac:dyDescent="0.25">
      <c r="A24" s="73">
        <v>758</v>
      </c>
      <c r="B24" s="9">
        <f>+'Arte Fino Maderas'!D13</f>
        <v>15</v>
      </c>
      <c r="C24" s="114">
        <f>+'Arte Fino Maderas'!E12</f>
        <v>1080000</v>
      </c>
      <c r="D24" s="38">
        <v>680</v>
      </c>
      <c r="E24" s="9">
        <f>+'Arte Fino Maderas'!D22</f>
        <v>38</v>
      </c>
      <c r="F24" s="11">
        <f>+'Arte Fino Maderas'!E22</f>
        <v>11400</v>
      </c>
      <c r="G24" s="17"/>
      <c r="H24" s="8"/>
      <c r="I24" s="68"/>
    </row>
    <row r="25" spans="1:11" x14ac:dyDescent="0.25">
      <c r="A25" s="125"/>
      <c r="B25" s="6"/>
      <c r="C25" s="115"/>
      <c r="D25" s="39"/>
      <c r="E25" s="6"/>
      <c r="F25" s="7"/>
      <c r="G25" s="20"/>
      <c r="H25" s="4"/>
      <c r="I25" s="75"/>
    </row>
    <row r="26" spans="1:11" x14ac:dyDescent="0.25">
      <c r="A26" s="173" t="s">
        <v>69</v>
      </c>
      <c r="B26" s="174"/>
      <c r="C26" s="174"/>
      <c r="D26" s="174"/>
      <c r="E26" s="174"/>
      <c r="F26" s="174"/>
      <c r="G26" s="174"/>
      <c r="H26" s="174"/>
      <c r="I26" s="175"/>
    </row>
    <row r="27" spans="1:11" x14ac:dyDescent="0.25">
      <c r="A27" s="120" t="s">
        <v>172</v>
      </c>
      <c r="B27" s="8"/>
      <c r="C27" s="11"/>
      <c r="D27" s="178">
        <f>+SUM(C23:C25)</f>
        <v>1160000</v>
      </c>
      <c r="E27" s="179"/>
      <c r="F27" s="60" t="s">
        <v>237</v>
      </c>
      <c r="H27" s="178">
        <f>+SUM(D27:E29)</f>
        <v>1508952.5</v>
      </c>
      <c r="I27" s="182"/>
      <c r="K27" s="129"/>
    </row>
    <row r="28" spans="1:11" x14ac:dyDescent="0.25">
      <c r="A28" s="120" t="s">
        <v>235</v>
      </c>
      <c r="B28" s="8"/>
      <c r="C28" s="11"/>
      <c r="D28" s="178">
        <f>+SUM(F23:F25)</f>
        <v>23400</v>
      </c>
      <c r="E28" s="179"/>
      <c r="F28" s="60" t="s">
        <v>67</v>
      </c>
      <c r="H28" s="184">
        <f>+H27/H20</f>
        <v>25149.208333333332</v>
      </c>
      <c r="I28" s="185"/>
    </row>
    <row r="29" spans="1:11" ht="15.75" thickBot="1" x14ac:dyDescent="0.3">
      <c r="A29" s="121" t="s">
        <v>236</v>
      </c>
      <c r="B29" s="117"/>
      <c r="C29" s="119"/>
      <c r="D29" s="180">
        <f>+SUM(I23:I25)</f>
        <v>325552.5</v>
      </c>
      <c r="E29" s="181"/>
      <c r="F29" s="78"/>
      <c r="G29" s="78"/>
      <c r="H29" s="78"/>
      <c r="I29" s="83"/>
    </row>
  </sheetData>
  <mergeCells count="22">
    <mergeCell ref="A26:I26"/>
    <mergeCell ref="D27:E27"/>
    <mergeCell ref="D28:E28"/>
    <mergeCell ref="D29:E29"/>
    <mergeCell ref="H27:I27"/>
    <mergeCell ref="H28:I28"/>
    <mergeCell ref="A3:I3"/>
    <mergeCell ref="A7:C7"/>
    <mergeCell ref="D7:F7"/>
    <mergeCell ref="G7:I7"/>
    <mergeCell ref="C6:D6"/>
    <mergeCell ref="A12:I12"/>
    <mergeCell ref="A17:I17"/>
    <mergeCell ref="A21:C21"/>
    <mergeCell ref="C20:D20"/>
    <mergeCell ref="D13:E13"/>
    <mergeCell ref="D14:E14"/>
    <mergeCell ref="D15:E15"/>
    <mergeCell ref="H13:I13"/>
    <mergeCell ref="H14:I14"/>
    <mergeCell ref="D21:F21"/>
    <mergeCell ref="G21:I21"/>
  </mergeCells>
  <printOptions horizontalCentered="1"/>
  <pageMargins left="0.31496062992125984" right="0.31496062992125984" top="0.55118110236220474" bottom="0.15748031496062992" header="0.31496062992125984" footer="0.31496062992125984"/>
  <pageSetup scale="99" orientation="landscape" verticalDpi="0" r:id="rId1"/>
  <headerFooter>
    <oddHeader>&amp;R&amp;9CONTAB.COSTOS</oddHeader>
    <oddFooter>&amp;R&amp;"-,Negrita"&amp;9PROF.: Fernando Pérez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9"/>
  <sheetViews>
    <sheetView showGridLines="0" tabSelected="1" workbookViewId="0">
      <selection activeCell="G32" sqref="G32"/>
    </sheetView>
  </sheetViews>
  <sheetFormatPr baseColWidth="10" defaultRowHeight="15" x14ac:dyDescent="0.25"/>
  <cols>
    <col min="1" max="1" width="1.85546875" customWidth="1"/>
    <col min="2" max="2" width="10.140625" customWidth="1"/>
    <col min="3" max="3" width="8.7109375" customWidth="1"/>
    <col min="4" max="4" width="13.85546875" customWidth="1"/>
    <col min="5" max="5" width="9.140625" customWidth="1"/>
    <col min="6" max="6" width="10.140625" customWidth="1"/>
    <col min="7" max="7" width="16" customWidth="1"/>
    <col min="8" max="8" width="6.5703125" customWidth="1"/>
    <col min="9" max="9" width="9.5703125" customWidth="1"/>
    <col min="10" max="10" width="17.7109375" customWidth="1"/>
    <col min="11" max="11" width="1.85546875" customWidth="1"/>
  </cols>
  <sheetData>
    <row r="1" spans="2:10" ht="19.5" thickBot="1" x14ac:dyDescent="0.35">
      <c r="B1" s="176" t="s">
        <v>51</v>
      </c>
      <c r="C1" s="176"/>
      <c r="D1" s="176"/>
      <c r="E1" s="176"/>
      <c r="F1" s="176"/>
      <c r="G1" s="176"/>
      <c r="H1" s="176"/>
      <c r="I1" s="176"/>
      <c r="J1" s="176"/>
    </row>
    <row r="2" spans="2:10" ht="15.75" x14ac:dyDescent="0.25">
      <c r="B2" s="134"/>
      <c r="C2" s="135" t="s">
        <v>62</v>
      </c>
      <c r="D2" s="136"/>
      <c r="E2" s="135" t="s">
        <v>52</v>
      </c>
      <c r="F2" s="135"/>
      <c r="G2" s="118"/>
      <c r="H2" s="135" t="s">
        <v>75</v>
      </c>
      <c r="I2" s="135"/>
      <c r="J2" s="137"/>
    </row>
    <row r="3" spans="2:10" ht="15.75" thickBot="1" x14ac:dyDescent="0.3">
      <c r="B3" s="67"/>
      <c r="C3" s="8" t="s">
        <v>26</v>
      </c>
      <c r="D3" s="60"/>
      <c r="E3" s="8" t="s">
        <v>53</v>
      </c>
      <c r="F3" s="8"/>
      <c r="H3" s="8" t="s">
        <v>66</v>
      </c>
      <c r="I3" s="8"/>
      <c r="J3" s="68"/>
    </row>
    <row r="4" spans="2:10" ht="15.75" thickBot="1" x14ac:dyDescent="0.3">
      <c r="B4" s="162" t="s">
        <v>58</v>
      </c>
      <c r="C4" s="157"/>
      <c r="D4" s="158"/>
      <c r="E4" s="159" t="s">
        <v>59</v>
      </c>
      <c r="F4" s="160"/>
      <c r="G4" s="161"/>
      <c r="H4" s="162" t="s">
        <v>60</v>
      </c>
      <c r="I4" s="157"/>
      <c r="J4" s="158"/>
    </row>
    <row r="5" spans="2:10" x14ac:dyDescent="0.25">
      <c r="B5" s="122" t="s">
        <v>232</v>
      </c>
      <c r="C5" s="123" t="s">
        <v>20</v>
      </c>
      <c r="D5" s="123" t="s">
        <v>55</v>
      </c>
      <c r="E5" s="123" t="s">
        <v>234</v>
      </c>
      <c r="F5" s="123" t="s">
        <v>57</v>
      </c>
      <c r="G5" s="123" t="s">
        <v>55</v>
      </c>
      <c r="H5" s="123" t="s">
        <v>57</v>
      </c>
      <c r="I5" s="123" t="s">
        <v>24</v>
      </c>
      <c r="J5" s="124" t="s">
        <v>55</v>
      </c>
    </row>
    <row r="6" spans="2:10" x14ac:dyDescent="0.25">
      <c r="B6" s="71"/>
      <c r="C6" s="14"/>
      <c r="D6" s="35"/>
      <c r="E6" s="37"/>
      <c r="F6" s="14"/>
      <c r="G6" s="35"/>
      <c r="H6" s="37"/>
      <c r="I6" s="35"/>
      <c r="J6" s="72"/>
    </row>
    <row r="7" spans="2:10" x14ac:dyDescent="0.25">
      <c r="B7" s="73"/>
      <c r="C7" s="40"/>
      <c r="D7" s="11"/>
      <c r="E7" s="38"/>
      <c r="F7" s="9"/>
      <c r="G7" s="11"/>
      <c r="H7" s="17"/>
      <c r="I7" s="8"/>
      <c r="J7" s="68"/>
    </row>
    <row r="8" spans="2:10" x14ac:dyDescent="0.25">
      <c r="B8" s="73"/>
      <c r="C8" s="40"/>
      <c r="D8" s="11"/>
      <c r="E8" s="38"/>
      <c r="F8" s="9"/>
      <c r="G8" s="11"/>
      <c r="H8" s="17"/>
      <c r="I8" s="8"/>
      <c r="J8" s="68"/>
    </row>
    <row r="9" spans="2:10" x14ac:dyDescent="0.25">
      <c r="B9" s="73"/>
      <c r="C9" s="40"/>
      <c r="D9" s="11"/>
      <c r="E9" s="38"/>
      <c r="F9" s="9"/>
      <c r="G9" s="11"/>
      <c r="H9" s="17"/>
      <c r="I9" s="8"/>
      <c r="J9" s="68"/>
    </row>
    <row r="10" spans="2:10" x14ac:dyDescent="0.25">
      <c r="B10" s="74"/>
      <c r="C10" s="4"/>
      <c r="D10" s="7"/>
      <c r="E10" s="39"/>
      <c r="F10" s="6"/>
      <c r="G10" s="7"/>
      <c r="H10" s="20"/>
      <c r="I10" s="4"/>
      <c r="J10" s="75"/>
    </row>
    <row r="11" spans="2:10" x14ac:dyDescent="0.25">
      <c r="B11" s="173" t="s">
        <v>69</v>
      </c>
      <c r="C11" s="174"/>
      <c r="D11" s="174"/>
      <c r="E11" s="174"/>
      <c r="F11" s="174"/>
      <c r="G11" s="174"/>
      <c r="H11" s="174"/>
      <c r="I11" s="174"/>
      <c r="J11" s="175"/>
    </row>
    <row r="12" spans="2:10" x14ac:dyDescent="0.25">
      <c r="B12" s="120" t="s">
        <v>172</v>
      </c>
      <c r="C12" s="8"/>
      <c r="D12" s="11"/>
      <c r="E12" s="8"/>
      <c r="F12" s="57"/>
      <c r="G12" s="60" t="s">
        <v>237</v>
      </c>
      <c r="I12" s="8"/>
      <c r="J12" s="68"/>
    </row>
    <row r="13" spans="2:10" x14ac:dyDescent="0.25">
      <c r="B13" s="120" t="s">
        <v>235</v>
      </c>
      <c r="C13" s="8"/>
      <c r="D13" s="11"/>
      <c r="E13" s="8"/>
      <c r="F13" s="116"/>
      <c r="G13" s="60" t="s">
        <v>67</v>
      </c>
      <c r="I13" s="8"/>
      <c r="J13" s="68"/>
    </row>
    <row r="14" spans="2:10" ht="15.75" thickBot="1" x14ac:dyDescent="0.3">
      <c r="B14" s="121" t="s">
        <v>236</v>
      </c>
      <c r="C14" s="117"/>
      <c r="D14" s="119"/>
      <c r="E14" s="78"/>
      <c r="F14" s="78"/>
      <c r="G14" s="78"/>
      <c r="H14" s="78"/>
      <c r="I14" s="78"/>
      <c r="J14" s="83"/>
    </row>
    <row r="15" spans="2:10" ht="9.75" customHeight="1" x14ac:dyDescent="0.25">
      <c r="C15" s="8"/>
      <c r="D15" s="11"/>
      <c r="H15" s="118"/>
      <c r="I15" s="118"/>
      <c r="J15" s="118"/>
    </row>
    <row r="16" spans="2:10" ht="19.5" thickBot="1" x14ac:dyDescent="0.35">
      <c r="B16" s="176" t="s">
        <v>51</v>
      </c>
      <c r="C16" s="176"/>
      <c r="D16" s="176"/>
      <c r="E16" s="176"/>
      <c r="F16" s="176"/>
      <c r="G16" s="176"/>
      <c r="H16" s="176"/>
      <c r="I16" s="176"/>
      <c r="J16" s="176"/>
    </row>
    <row r="17" spans="2:10" ht="15.75" x14ac:dyDescent="0.25">
      <c r="B17" s="67"/>
      <c r="C17" s="8" t="s">
        <v>62</v>
      </c>
      <c r="D17" s="63"/>
      <c r="E17" s="8" t="s">
        <v>52</v>
      </c>
      <c r="F17" s="8"/>
      <c r="H17" s="8" t="s">
        <v>75</v>
      </c>
      <c r="I17" s="8"/>
      <c r="J17" s="68"/>
    </row>
    <row r="18" spans="2:10" ht="15.75" thickBot="1" x14ac:dyDescent="0.3">
      <c r="B18" s="67"/>
      <c r="C18" s="8" t="s">
        <v>26</v>
      </c>
      <c r="D18" s="60"/>
      <c r="E18" s="8" t="s">
        <v>53</v>
      </c>
      <c r="F18" s="8"/>
      <c r="H18" s="8" t="s">
        <v>66</v>
      </c>
      <c r="I18" s="8"/>
      <c r="J18" s="68"/>
    </row>
    <row r="19" spans="2:10" ht="15.75" thickBot="1" x14ac:dyDescent="0.3">
      <c r="B19" s="162" t="s">
        <v>58</v>
      </c>
      <c r="C19" s="157"/>
      <c r="D19" s="158"/>
      <c r="E19" s="159" t="s">
        <v>59</v>
      </c>
      <c r="F19" s="160"/>
      <c r="G19" s="161"/>
      <c r="H19" s="162" t="s">
        <v>60</v>
      </c>
      <c r="I19" s="157"/>
      <c r="J19" s="158"/>
    </row>
    <row r="20" spans="2:10" x14ac:dyDescent="0.25">
      <c r="B20" s="122" t="s">
        <v>232</v>
      </c>
      <c r="C20" s="123" t="s">
        <v>20</v>
      </c>
      <c r="D20" s="123" t="s">
        <v>55</v>
      </c>
      <c r="E20" s="123" t="s">
        <v>234</v>
      </c>
      <c r="F20" s="123" t="s">
        <v>57</v>
      </c>
      <c r="G20" s="123" t="s">
        <v>55</v>
      </c>
      <c r="H20" s="123" t="s">
        <v>57</v>
      </c>
      <c r="I20" s="123" t="s">
        <v>24</v>
      </c>
      <c r="J20" s="124" t="s">
        <v>55</v>
      </c>
    </row>
    <row r="21" spans="2:10" x14ac:dyDescent="0.25">
      <c r="B21" s="71"/>
      <c r="C21" s="14"/>
      <c r="D21" s="35"/>
      <c r="E21" s="37"/>
      <c r="F21" s="14"/>
      <c r="G21" s="35"/>
      <c r="H21" s="37"/>
      <c r="I21" s="35"/>
      <c r="J21" s="72"/>
    </row>
    <row r="22" spans="2:10" x14ac:dyDescent="0.25">
      <c r="B22" s="67"/>
      <c r="C22" s="186"/>
      <c r="D22" s="187"/>
      <c r="E22" s="38"/>
      <c r="F22" s="186"/>
      <c r="G22" s="187"/>
      <c r="H22" s="38"/>
      <c r="I22" s="187"/>
      <c r="J22" s="188"/>
    </row>
    <row r="23" spans="2:10" x14ac:dyDescent="0.25">
      <c r="B23" s="67"/>
      <c r="C23" s="186"/>
      <c r="D23" s="187"/>
      <c r="E23" s="38"/>
      <c r="F23" s="186"/>
      <c r="G23" s="187"/>
      <c r="H23" s="38"/>
      <c r="I23" s="187"/>
      <c r="J23" s="188"/>
    </row>
    <row r="24" spans="2:10" x14ac:dyDescent="0.25">
      <c r="B24" s="73"/>
      <c r="C24" s="40"/>
      <c r="D24" s="11"/>
      <c r="E24" s="38"/>
      <c r="F24" s="9"/>
      <c r="G24" s="11"/>
      <c r="H24" s="17"/>
      <c r="I24" s="8"/>
      <c r="J24" s="68"/>
    </row>
    <row r="25" spans="2:10" x14ac:dyDescent="0.25">
      <c r="B25" s="74"/>
      <c r="C25" s="4"/>
      <c r="D25" s="7"/>
      <c r="E25" s="39"/>
      <c r="F25" s="6"/>
      <c r="G25" s="7"/>
      <c r="H25" s="20"/>
      <c r="I25" s="4"/>
      <c r="J25" s="75"/>
    </row>
    <row r="26" spans="2:10" x14ac:dyDescent="0.25">
      <c r="B26" s="173" t="s">
        <v>69</v>
      </c>
      <c r="C26" s="174"/>
      <c r="D26" s="174"/>
      <c r="E26" s="174"/>
      <c r="F26" s="174"/>
      <c r="G26" s="174"/>
      <c r="H26" s="174"/>
      <c r="I26" s="174"/>
      <c r="J26" s="175"/>
    </row>
    <row r="27" spans="2:10" x14ac:dyDescent="0.25">
      <c r="B27" s="120" t="s">
        <v>172</v>
      </c>
      <c r="C27" s="8"/>
      <c r="D27" s="11"/>
      <c r="E27" s="8"/>
      <c r="F27" s="57"/>
      <c r="G27" s="60" t="s">
        <v>237</v>
      </c>
      <c r="I27" s="8"/>
      <c r="J27" s="68"/>
    </row>
    <row r="28" spans="2:10" x14ac:dyDescent="0.25">
      <c r="B28" s="120" t="s">
        <v>235</v>
      </c>
      <c r="C28" s="8"/>
      <c r="D28" s="11"/>
      <c r="E28" s="8"/>
      <c r="F28" s="116"/>
      <c r="G28" s="60" t="s">
        <v>67</v>
      </c>
      <c r="I28" s="8"/>
      <c r="J28" s="68"/>
    </row>
    <row r="29" spans="2:10" ht="15.75" thickBot="1" x14ac:dyDescent="0.3">
      <c r="B29" s="121" t="s">
        <v>236</v>
      </c>
      <c r="C29" s="117"/>
      <c r="D29" s="119"/>
      <c r="E29" s="78"/>
      <c r="F29" s="78"/>
      <c r="G29" s="78"/>
      <c r="H29" s="78"/>
      <c r="I29" s="78"/>
      <c r="J29" s="83"/>
    </row>
  </sheetData>
  <mergeCells count="10">
    <mergeCell ref="B19:D19"/>
    <mergeCell ref="E19:G19"/>
    <mergeCell ref="H19:J19"/>
    <mergeCell ref="B26:J26"/>
    <mergeCell ref="B1:J1"/>
    <mergeCell ref="B4:D4"/>
    <mergeCell ref="E4:G4"/>
    <mergeCell ref="H4:J4"/>
    <mergeCell ref="B11:J11"/>
    <mergeCell ref="B16:J16"/>
  </mergeCells>
  <pageMargins left="0.31496062992125984" right="0.31496062992125984" top="0.15748031496062992" bottom="0.15748031496062992" header="0.31496062992125984" footer="0.31496062992125984"/>
  <pageSetup scale="99" orientation="portrait" verticalDpi="0" r:id="rId1"/>
  <headerFooter>
    <oddHeader>&amp;R&amp;9CONTAB.COSTOS</oddHeader>
    <oddFooter>&amp;R&amp;"-,Negrita"&amp;9PROF.: Fernando Pérez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 de Costos Metalzam</vt:lpstr>
      <vt:lpstr>Practica Metalzam</vt:lpstr>
      <vt:lpstr>Arte Fino Maderas</vt:lpstr>
      <vt:lpstr>Hoja Costos Arte Fino</vt:lpstr>
      <vt:lpstr>formato hojas costos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2016-10-27T19:00:13Z</cp:lastPrinted>
  <dcterms:created xsi:type="dcterms:W3CDTF">2016-10-20T15:13:54Z</dcterms:created>
  <dcterms:modified xsi:type="dcterms:W3CDTF">2026-02-03T17:18:25Z</dcterms:modified>
</cp:coreProperties>
</file>